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665" firstSheet="11" activeTab="12"/>
  </bookViews>
  <sheets>
    <sheet name="ต.ค." sheetId="1" r:id="rId1"/>
    <sheet name="พ.ย" sheetId="2" r:id="rId2"/>
    <sheet name="ธ.ค." sheetId="3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." sheetId="9" r:id="rId9"/>
    <sheet name="ก.ค." sheetId="10" r:id="rId10"/>
    <sheet name="ส.ค." sheetId="11" r:id="rId11"/>
    <sheet name="ก.ย." sheetId="12" r:id="rId12"/>
    <sheet name="กระดาษทำการ" sheetId="13" r:id="rId13"/>
    <sheet name="งบทดลองหลังปิดบัญชี" sheetId="14" r:id="rId14"/>
    <sheet name="งบรับ-จ่าย" sheetId="15" r:id="rId15"/>
    <sheet name="งบแสดงฐานะการเงิน" sheetId="16" r:id="rId16"/>
    <sheet name="งบทรัพย์สิน" sheetId="17" r:id="rId17"/>
    <sheet name="Sheet5" sheetId="18" r:id="rId18"/>
    <sheet name="Sheet1" sheetId="19" r:id="rId19"/>
  </sheets>
  <definedNames>
    <definedName name="_xlnm.Print_Titles" localSheetId="9">'ก.ค.'!$A:$B,'ก.ค.'!$1:$5</definedName>
    <definedName name="_xlnm.Print_Titles" localSheetId="4">'ก.พ.'!$A:$B,'ก.พ.'!$1:$5</definedName>
    <definedName name="_xlnm.Print_Titles" localSheetId="11">'ก.ย.'!$A:$B,'ก.ย.'!$1:$5</definedName>
    <definedName name="_xlnm.Print_Titles" localSheetId="0">'ต.ค.'!$A:$B,'ต.ค.'!$1:$5</definedName>
    <definedName name="_xlnm.Print_Titles" localSheetId="2">'ธ.ค.'!$A:$B,'ธ.ค.'!$1:$5</definedName>
    <definedName name="_xlnm.Print_Titles" localSheetId="7">'พ.ค.'!$A:$B,'พ.ค.'!$1:$5</definedName>
    <definedName name="_xlnm.Print_Titles" localSheetId="3">'ม.ค.'!$A:$B,'ม.ค.'!$1:$5</definedName>
    <definedName name="_xlnm.Print_Titles" localSheetId="8">'มิ.ย.'!$A:$B,'มิ.ย.'!$1:$5</definedName>
    <definedName name="_xlnm.Print_Titles" localSheetId="5">'มี.ค.'!$A:$B,'มี.ค.'!$1:$5</definedName>
    <definedName name="_xlnm.Print_Titles" localSheetId="6">'เม.ย.'!$A:$B,'เม.ย.'!$1:$5</definedName>
    <definedName name="_xlnm.Print_Titles" localSheetId="10">'ส.ค.'!$A:$B,'ส.ค.'!$1:$5</definedName>
  </definedNames>
  <calcPr fullCalcOnLoad="1"/>
</workbook>
</file>

<file path=xl/sharedStrings.xml><?xml version="1.0" encoding="utf-8"?>
<sst xmlns="http://schemas.openxmlformats.org/spreadsheetml/2006/main" count="3139" uniqueCount="334">
  <si>
    <t>ชื่อบัญชี</t>
  </si>
  <si>
    <t>ใบผ่านมาตรฐาน 1</t>
  </si>
  <si>
    <t>ใบผ่านมาตรฐาน 2</t>
  </si>
  <si>
    <t>เดบิท</t>
  </si>
  <si>
    <t>เครดิต</t>
  </si>
  <si>
    <t>010</t>
  </si>
  <si>
    <t>011</t>
  </si>
  <si>
    <t>021</t>
  </si>
  <si>
    <t>022</t>
  </si>
  <si>
    <t>000</t>
  </si>
  <si>
    <t>บัญชีเงินเดือน</t>
  </si>
  <si>
    <t>100</t>
  </si>
  <si>
    <t>บัญชีค่าจ้างประจำ</t>
  </si>
  <si>
    <t>120</t>
  </si>
  <si>
    <t>บัญชีค่าจ้างชั่วคราว</t>
  </si>
  <si>
    <t>130</t>
  </si>
  <si>
    <t>บัญชีค่าตอบแทน</t>
  </si>
  <si>
    <t>200</t>
  </si>
  <si>
    <t>บัญชีค่าใช้สอย</t>
  </si>
  <si>
    <t>250</t>
  </si>
  <si>
    <t>บัญชีค่าวัสดุ</t>
  </si>
  <si>
    <t>270</t>
  </si>
  <si>
    <t>บัญชีสาธารณูปโภค</t>
  </si>
  <si>
    <t>300</t>
  </si>
  <si>
    <t>บัญชีเงินอุดหนุน</t>
  </si>
  <si>
    <t>400</t>
  </si>
  <si>
    <t>บัญชีค่าครุภัณฑ์</t>
  </si>
  <si>
    <t>450</t>
  </si>
  <si>
    <t>บัญชีค่าที่ดินและสิ่งก่อสร้าง</t>
  </si>
  <si>
    <t>500</t>
  </si>
  <si>
    <t>700</t>
  </si>
  <si>
    <t>704</t>
  </si>
  <si>
    <t>บัญชีรายรับ</t>
  </si>
  <si>
    <t>821</t>
  </si>
  <si>
    <t>900</t>
  </si>
  <si>
    <t>บัญชีสำรองเงินรายรับ</t>
  </si>
  <si>
    <t>ใบผ่านมาตรฐ,น 3</t>
  </si>
  <si>
    <t>ใบผ่านรายการทั่วไป</t>
  </si>
  <si>
    <t>งบทดลอง(หลังปรับปรุง)</t>
  </si>
  <si>
    <t>ลูกหนี้เงินยืมเงินงบประมาณ</t>
  </si>
  <si>
    <t>090</t>
  </si>
  <si>
    <t>บัญชีรายจ่ายค้างจ่าย</t>
  </si>
  <si>
    <t>600</t>
  </si>
  <si>
    <t>703</t>
  </si>
  <si>
    <t>บัญชีเงินสะสม</t>
  </si>
  <si>
    <t xml:space="preserve">บัญชีเงินทุนสำรองเงินสะสม </t>
  </si>
  <si>
    <t>823</t>
  </si>
  <si>
    <t>824</t>
  </si>
  <si>
    <t>บัญชีเงินรับฝาก - ภาษี หัก ณ ที่จ่าย</t>
  </si>
  <si>
    <t>906</t>
  </si>
  <si>
    <t>907</t>
  </si>
  <si>
    <t>บัญชีเงินสด</t>
  </si>
  <si>
    <t>บัญชีงบกลาง</t>
  </si>
  <si>
    <t>บัญชีลูกหนี้เงินยืมเงินสะสม</t>
  </si>
  <si>
    <t xml:space="preserve">                   - บัญชีอาหารเสริม(นม) โรงรียน สปช.</t>
  </si>
  <si>
    <t xml:space="preserve">                   - บัญชีอาหารกลางวัน โรงเรียน  สปช.</t>
  </si>
  <si>
    <t xml:space="preserve">                   - บัญชีอาหารเสริม(นม) (กรมศาสนา)</t>
  </si>
  <si>
    <t xml:space="preserve">                   - บัญชีค่าตอบแทนผู้ดูแลเด็ก ( กรมศาสนา)</t>
  </si>
  <si>
    <t xml:space="preserve">                   - บัญชีค่าครองชีพชั่วคราวผู้ดูแลเด็ก ( กรมศาสนา)</t>
  </si>
  <si>
    <t xml:space="preserve">                   - บัญชีค่าวัสดุ (กรมศาสนา)</t>
  </si>
  <si>
    <t xml:space="preserve">                   - บัญชีค่าพาหนะ(กรมศาสนา)</t>
  </si>
  <si>
    <t xml:space="preserve">                   - บัญชีเงินเศรษฐกิจชุมชน (100,000)</t>
  </si>
  <si>
    <t xml:space="preserve">                   - บัญชีดอกเบี้ยเงินฝากธนาคารเศรษฐกิจชุมชน (100,000)</t>
  </si>
  <si>
    <t xml:space="preserve">                   - บัญชีดอกเบี้ยเงินฝากธนาคารเงินงบประมาณ</t>
  </si>
  <si>
    <t xml:space="preserve">                   - บัญชีเบี้ยยังชีพผู้คนชรา</t>
  </si>
  <si>
    <t xml:space="preserve">                   - บัญชีเบี้ยคนพิการ</t>
  </si>
  <si>
    <t xml:space="preserve">                   - บัญชีเงินสนับสนุนสาธารณสุขมูลฐาน</t>
  </si>
  <si>
    <t xml:space="preserve">                   - บัญชีเงินถ่ายโอน รพช.</t>
  </si>
  <si>
    <t xml:space="preserve">                   - บัญชีเงินอุปกรณ์กีฬา</t>
  </si>
  <si>
    <t xml:space="preserve">                   - บัญชีหอกระจายข่าว</t>
  </si>
  <si>
    <t xml:space="preserve">                   - บัญชีกีฬาอำเภอ</t>
  </si>
  <si>
    <t xml:space="preserve">                   - บัญชีเงินอุดหนุนทั่วไป(เฉพาะกิจเร่งด่วน)</t>
  </si>
  <si>
    <t xml:space="preserve">                   - บัญชีเงินประกันสัญญา</t>
  </si>
  <si>
    <t xml:space="preserve">                   - บัญชีประกันสังคม</t>
  </si>
  <si>
    <t xml:space="preserve">                   - บัญชีค่าใช้จ่ายในการจัดเก็บภาษีบำรุงท้องที่ 5 %</t>
  </si>
  <si>
    <t xml:space="preserve">                   - บัญชีส่วนลดในการจัดเก็บภาษีบำรุงท้องที่ 6 %</t>
  </si>
  <si>
    <t>บัญชี</t>
  </si>
  <si>
    <t>รหัส</t>
  </si>
  <si>
    <t>ใบผ่านมาตรฐาน 3</t>
  </si>
  <si>
    <t>0101</t>
  </si>
  <si>
    <t>0102</t>
  </si>
  <si>
    <t>0103</t>
  </si>
  <si>
    <t>1001</t>
  </si>
  <si>
    <t>1002</t>
  </si>
  <si>
    <t>1004</t>
  </si>
  <si>
    <t>1005</t>
  </si>
  <si>
    <t>1006</t>
  </si>
  <si>
    <t>1010</t>
  </si>
  <si>
    <t>1011</t>
  </si>
  <si>
    <t>1013</t>
  </si>
  <si>
    <t>0203</t>
  </si>
  <si>
    <t>0302</t>
  </si>
  <si>
    <t>0307</t>
  </si>
  <si>
    <t>2001</t>
  </si>
  <si>
    <t xml:space="preserve">                   - บัญชีภาษีโรงเรือนและที่ดิน</t>
  </si>
  <si>
    <t xml:space="preserve">                   - บัญชีภาษีบำรุงท้องที่</t>
  </si>
  <si>
    <t xml:space="preserve">                   - บัญชีภาษีป้าย</t>
  </si>
  <si>
    <t xml:space="preserve">                   -  บัญชีภาษีมูลค่าเพิ่ม</t>
  </si>
  <si>
    <t xml:space="preserve">                   - บัญชีภาษีสุรา</t>
  </si>
  <si>
    <t xml:space="preserve">                   - บัญชีภาษีสรรพสามิต</t>
  </si>
  <si>
    <t xml:space="preserve">                   - บัญชีภาษีค่าภาคหลวงแร่</t>
  </si>
  <si>
    <t xml:space="preserve">                   - บัญชีภาษีปิโตรเลี่ยม</t>
  </si>
  <si>
    <t xml:space="preserve">                   - บัญชีภาษีดอกเบี้ยเงินฝากธนาคาร</t>
  </si>
  <si>
    <t xml:space="preserve">                   - บัญชีภาษีค่าขายแบบแปลน</t>
  </si>
  <si>
    <t xml:space="preserve">                   - บัญชีเบ็ดเตล็ด</t>
  </si>
  <si>
    <t xml:space="preserve">                   - บัญชีเงินอุดหนุนทั่วไป</t>
  </si>
  <si>
    <t xml:space="preserve">                   - บัญชีการประกอบกิจการที่เป็นอันตรายต่อสุขภาพ</t>
  </si>
  <si>
    <t>บัญชีเงินรับฝาก - ลูกหนี้ภาษี หัก ณ ที่จ่าย-กรมสรรพากร</t>
  </si>
  <si>
    <t xml:space="preserve">                   -บัญชีเงินอุดหนุนโครงการจริยธรรม</t>
  </si>
  <si>
    <t xml:space="preserve">                   -บัญชีเงินอุดหนุนกิจกรรมเด็กและเยาวชน</t>
  </si>
  <si>
    <t>บัญชีเงินขาดบัญชี</t>
  </si>
  <si>
    <t>091</t>
  </si>
  <si>
    <t>0148</t>
  </si>
  <si>
    <t>บัญชีรายจ่ายอื่น</t>
  </si>
  <si>
    <t>550</t>
  </si>
  <si>
    <t>องค์การบริหารส่วนตำบลเมืองเตา</t>
  </si>
  <si>
    <t>บัญชีเงินฝากกระแสรายวัน กรุงไทย 423-6-01287-1</t>
  </si>
  <si>
    <t>บัญชี เงินฝากออมทรัพย์ ธกส.  246-2-80734-9</t>
  </si>
  <si>
    <t xml:space="preserve">     งบทดลอง เดือน  มีนาคม  2551</t>
  </si>
  <si>
    <t xml:space="preserve">                   -บัญชีหุ้นสหกรณ์</t>
  </si>
  <si>
    <t xml:space="preserve">                   -บัญชีเงินกู้ ธนาคารออมสิน</t>
  </si>
  <si>
    <t xml:space="preserve">                   -บัญชีลิ้มเจียมฮง</t>
  </si>
  <si>
    <t xml:space="preserve">                   - บัญชีรายได้ค่าเช่า อาคาร ร้านค้า</t>
  </si>
  <si>
    <t xml:space="preserve">                   - บัญชีรายได้จากน้ำประปา</t>
  </si>
  <si>
    <t xml:space="preserve">                   - บัญชีภาษีค่าธรรมเนียมนิติกรรมที่ดิน</t>
  </si>
  <si>
    <t xml:space="preserve">                   -  บัญชีภาษีมูลค่าเพิ่ม 1 ใน 9</t>
  </si>
  <si>
    <t xml:space="preserve">                   - บัญชีรายรับนอกระบบ</t>
  </si>
  <si>
    <t xml:space="preserve">                   - บัญชีเงินเบิกเกินบัญชี</t>
  </si>
  <si>
    <t>บัญชี เงินฝากออมทรัพย์ ธกส.  246-2-57874-8</t>
  </si>
  <si>
    <t xml:space="preserve">                   - บัญชีเงินอุดหนุนทั่วไป(เฉพาะกิจน้ำประปา)</t>
  </si>
  <si>
    <t>บัญชีเงินฝากออมทรัพย์ กรุงไทย 423-0-19079-4</t>
  </si>
  <si>
    <t>บัญชี เงินฝากออมทรัพย์ ธกส.  246-2-80927-8</t>
  </si>
  <si>
    <t xml:space="preserve">                   - บัญชีภาษีค่าธรรมเนียมใบอนุญาติกำจัดขยะมูลฝอย</t>
  </si>
  <si>
    <t>0127</t>
  </si>
  <si>
    <t>บัญชีเงินฝากกระแสรายวัน ธกส. 246-5-00026-7</t>
  </si>
  <si>
    <t xml:space="preserve">                   - บัญชีเงินอุดหนุนทั่วไป(เฉพาะกิจ)</t>
  </si>
  <si>
    <t>บัญชีรายรับ(นอกระบบ)</t>
  </si>
  <si>
    <t>งบทดลอง 28  ก.พ. 2551</t>
  </si>
  <si>
    <t xml:space="preserve">                   - บัญชีพัฒนาองค์ความรู้</t>
  </si>
  <si>
    <t xml:space="preserve">                   - บัญชีสื่อการเรียนการสอนโรงเรียน  สปช.</t>
  </si>
  <si>
    <t xml:space="preserve">                   - บัญชีค่าปรับผู้ทำผิดกฎจราจร</t>
  </si>
  <si>
    <t>บัญชีลูกหนี้เงินสะสม</t>
  </si>
  <si>
    <t xml:space="preserve">                   - บัญชีเงินสนับสนุนกองทุนสวัสดิการสังคม</t>
  </si>
  <si>
    <t xml:space="preserve">                   - บัญชีส่วนลดค่าปรับผู้ทำผิดกฎจราจร 25 %</t>
  </si>
  <si>
    <t xml:space="preserve">                   - บัญชีเบี้ยผู้ติดเชื้อเอดส์</t>
  </si>
  <si>
    <t xml:space="preserve">งบทดลอง </t>
  </si>
  <si>
    <t>บัญชีเงินสำรองสะสม</t>
  </si>
  <si>
    <t>บัญชีภาษีหัก  ณ  ที่จ่าย</t>
  </si>
  <si>
    <t>บัญชีเงินประกันสัญญา</t>
  </si>
  <si>
    <t>บัญชีเงินเศรษฐกิจชุมชน (100,000)</t>
  </si>
  <si>
    <t>บัญชีดอกเบี้ยเงินฝากธนาคารเศรษฐกิจชุมชน (100,000)</t>
  </si>
  <si>
    <t xml:space="preserve"> บัญชีภาษีหน้าฎีกา</t>
  </si>
  <si>
    <t>ตรวจสอบถูกต้องแล้ว</t>
  </si>
  <si>
    <t xml:space="preserve">                   -  บัญชีภาษีมูลค่าเพิ่มตาม พรบ.</t>
  </si>
  <si>
    <t>ผู้จัดทำ</t>
  </si>
  <si>
    <t>นักวิชาการเงินและบัญชี</t>
  </si>
  <si>
    <t>ปลัดองค์การบริหารส่วนตำบลเมืองเตา</t>
  </si>
  <si>
    <t>นายกองค์การบริหารส่วนตำบลเมืองเตา</t>
  </si>
  <si>
    <t xml:space="preserve">                   - บัญชีประกันสังคม (กรมศาสนา)</t>
  </si>
  <si>
    <t>0137</t>
  </si>
  <si>
    <t>1003</t>
  </si>
  <si>
    <t>0200</t>
  </si>
  <si>
    <t>0202</t>
  </si>
  <si>
    <t>3002</t>
  </si>
  <si>
    <t xml:space="preserve">                   - บัญชีรายได้ค่าเช่าตลาด</t>
  </si>
  <si>
    <t xml:space="preserve">                   -บัญชีเงินกู้ ธนาคารกรุงไทย</t>
  </si>
  <si>
    <t xml:space="preserve">                   - บัญชีค่าครุภัณฑ์ (กรมศาสนา)</t>
  </si>
  <si>
    <t>3001</t>
  </si>
  <si>
    <t>0140</t>
  </si>
  <si>
    <t xml:space="preserve">                   -บัญชีลิ้มเจียบฮง</t>
  </si>
  <si>
    <t>องค์การบริหารส่วนตำบลเมืองเตา         อำเภอพยัคฆภูมิพิสัย        จังหวัดมหาสารคาม</t>
  </si>
  <si>
    <t>รายการ</t>
  </si>
  <si>
    <t>ประมาณการ</t>
  </si>
  <si>
    <t>รายรับจริง</t>
  </si>
  <si>
    <t>+</t>
  </si>
  <si>
    <t>สูง (ต่ำ)</t>
  </si>
  <si>
    <t>-</t>
  </si>
  <si>
    <t>รายรับตามงบประมาณ</t>
  </si>
  <si>
    <t>หมวดภาษีอากร</t>
  </si>
  <si>
    <t>หมวดค่าธรรมเนียม ค่าปรับและค่าใบอนุญาต</t>
  </si>
  <si>
    <t>หมวดรายได้จากทรพัย์สิน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</si>
  <si>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</si>
  <si>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</si>
  <si>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</si>
  <si>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หมวดเงินอุดหนุนทั่วไป</t>
  </si>
  <si>
    <t>รวมเงินรายรับตามงบประมาณทั้งสิ้น</t>
  </si>
  <si>
    <t>หมวดเงินสำรองรายรับปี  2552</t>
  </si>
  <si>
    <t>รายจ่ายตามงบประมาณ</t>
  </si>
  <si>
    <t>แผนงานบริหาร</t>
  </si>
  <si>
    <t>งบกลาง-สำรองจ่าย</t>
  </si>
  <si>
    <t>หมวดเงินเดือนและค่าจ้างประจำ</t>
  </si>
  <si>
    <t>หมวดค่าจ้างชั่วคราว</t>
  </si>
  <si>
    <t>หมวดค่าตอบแทนใช้สอยและวัสดุ</t>
  </si>
  <si>
    <t>หมวดค่าสาธารณูปโภค</t>
  </si>
  <si>
    <t xml:space="preserve">หมวดเงินอุดหนุน          </t>
  </si>
  <si>
    <t xml:space="preserve">หมวดรายจ่ายอื่น </t>
  </si>
  <si>
    <t>รวมรายจ่ายแผนงานบริหาร</t>
  </si>
  <si>
    <t>หมวดเงินสำรองรายรับปี 2552</t>
  </si>
  <si>
    <t xml:space="preserve">รายจ่ายแผนงานพัฒนา    </t>
  </si>
  <si>
    <t>รวมรายจ่ายตามงบประมาณรายจ่ายทั้งสิ้น</t>
  </si>
  <si>
    <t>รายรับจริงสูงกว่ารายจ่ายจริง</t>
  </si>
  <si>
    <t xml:space="preserve">                ผู้จัดทำ                                     ตรวจสอบถูกต้อง                    ตรวจสอบถูกต้อง                        ตรวจสอบถูกต้อง</t>
  </si>
  <si>
    <t xml:space="preserve">       นักวิชาการเงินและบัญชี                   หัวหน้าส่วนการคลัง                ปลัด อบต. เมืองเตา                    นายก อบต.เมืองเตา</t>
  </si>
  <si>
    <t>ใบผ่านรายการบัญชีทั่วไป</t>
  </si>
  <si>
    <t>งบแสดงฐานะการเงิน</t>
  </si>
  <si>
    <t>ณ วันที่  30 กันยายน  2552</t>
  </si>
  <si>
    <t>(ปรับปรุง)</t>
  </si>
  <si>
    <t>(ปิดบัญชี)</t>
  </si>
  <si>
    <t>รายรับ</t>
  </si>
  <si>
    <t>สำรองรายรับ</t>
  </si>
  <si>
    <t>จ่ายจริง</t>
  </si>
  <si>
    <t>เงินสะสม</t>
  </si>
  <si>
    <t xml:space="preserve">          ตรวจสอบถูกต้อง</t>
  </si>
  <si>
    <t>ตรวจสอบถูกต้อง</t>
  </si>
  <si>
    <t xml:space="preserve"> </t>
  </si>
  <si>
    <t>( นางสาวพวงเพชร     สงคราม )</t>
  </si>
  <si>
    <t>( นางเกษราภรณ์     ลำเหลือ )</t>
  </si>
  <si>
    <t>( นายจักรวาฬ    เหลาไชย )</t>
  </si>
  <si>
    <t xml:space="preserve">       หัวหน้าส่วนการคลัง</t>
  </si>
  <si>
    <t>องค์การบริหารส่วนตำบลเมืองเตา    อำเภอพยัคฆภูมิพิสัย   จังหวัดมหาสารคาม</t>
  </si>
  <si>
    <t>ทรัพย์สิน</t>
  </si>
  <si>
    <t>หนี้สินและเงินสะสม</t>
  </si>
  <si>
    <t xml:space="preserve">ทรัพย์สินตามงบทรัพย์สิน   </t>
  </si>
  <si>
    <t xml:space="preserve">ทุนทรัพย์สิน   </t>
  </si>
  <si>
    <t>เงินสด   และเงินฝากธนาคาร</t>
  </si>
  <si>
    <t xml:space="preserve">รายจ่ายผัดส่งใบสำคัญ   </t>
  </si>
  <si>
    <t xml:space="preserve">      เงินสด</t>
  </si>
  <si>
    <t xml:space="preserve">      กรุงไทย กระแสรายวัน  423-6-01287-1</t>
  </si>
  <si>
    <t xml:space="preserve">      กรุงไทย ออมทรัพย์  423-0-19079-4.</t>
  </si>
  <si>
    <t xml:space="preserve">      ธ.ก.ส.  ออมทรัพย์  246-2-80734-9</t>
  </si>
  <si>
    <t xml:space="preserve">      ธ.ก.ส.  ออมทรัพย์  246-2-57874-8</t>
  </si>
  <si>
    <t xml:space="preserve">      ธ.ก.ส.  ออมทรัพย์  246-2-80927-8</t>
  </si>
  <si>
    <t>เงินขาดบัญชี</t>
  </si>
  <si>
    <t>บัญชีลูกหนี้เงินยืมเงินงบประมาณ</t>
  </si>
  <si>
    <r>
      <t>บวก</t>
    </r>
    <r>
      <rPr>
        <sz val="14"/>
        <rFont val="AngsanaUPC"/>
        <family val="1"/>
      </rPr>
      <t xml:space="preserve">   รายรับจริงสูงกว่ารายจ่ายจริง</t>
    </r>
  </si>
  <si>
    <t xml:space="preserve">           รับเงินสะสม</t>
  </si>
  <si>
    <t>( นางสาวพวงเพชร    สงคราม )</t>
  </si>
  <si>
    <t>หัวหน้าส่วนการคลัง</t>
  </si>
  <si>
    <t>องค์การบริหารส่วนตำบลเมืองเตา     อำเภอพยัคฆภูมิพิสัย    จังหวัดมหาสารคาม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</si>
  <si>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</si>
  <si>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</si>
  <si>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</si>
  <si>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</si>
  <si>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</si>
  <si>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</si>
  <si>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</si>
  <si>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</si>
  <si>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</si>
  <si>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</si>
  <si>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>รายได้องค์การบริหารส่วนตำบล</t>
  </si>
  <si>
    <t xml:space="preserve">   ที่ดิน</t>
  </si>
  <si>
    <t xml:space="preserve"> -</t>
  </si>
  <si>
    <t>ข</t>
  </si>
  <si>
    <t>เงินอุดหนุนรัฐบาล</t>
  </si>
  <si>
    <t xml:space="preserve">   อาคาร</t>
  </si>
  <si>
    <t>ค</t>
  </si>
  <si>
    <t>สังหาริมทรัพย์</t>
  </si>
  <si>
    <t xml:space="preserve">   เครื่องใช้สำนักงาน</t>
  </si>
  <si>
    <t xml:space="preserve">   เครื่องพ่นหมอกควัน</t>
  </si>
  <si>
    <t>หมวดค่าครุภัณฑ์</t>
  </si>
  <si>
    <t>หมวดที่ดินและสิ่งก่สร้าง</t>
  </si>
  <si>
    <t>บัญชีเงินอุดหนุนทั่วไป(เฉพาะกิจถ่ายโอนจากกรมศาสนา)</t>
  </si>
  <si>
    <t>บัญชีภาษี หัก ณ ที่จ่าย</t>
  </si>
  <si>
    <t>บัญชีลูกหนี้ภาษี หัก ณ ที่จ่าย-กรมสรรพากร</t>
  </si>
  <si>
    <t>งบทดลอง  เดือน  ตุลาคม  2552</t>
  </si>
  <si>
    <t>งบทดลอง 30 ก.ย.2552</t>
  </si>
  <si>
    <t xml:space="preserve">     งบทดลอง เดือน   พฤศจิกายน  2552</t>
  </si>
  <si>
    <t xml:space="preserve">     งบทดลอง เดือน  มกราคม  2553</t>
  </si>
  <si>
    <t xml:space="preserve">     งบทดลอง เดือน  ธันวาคม  2552</t>
  </si>
  <si>
    <t xml:space="preserve">     งบทดลอง เดือน  กุมภาพันธ์  2553</t>
  </si>
  <si>
    <t xml:space="preserve">     งบทดลอง เดือน  มีนาคม  2553</t>
  </si>
  <si>
    <t xml:space="preserve">     งบทดลอง เดือน  เมษายน  2553</t>
  </si>
  <si>
    <t xml:space="preserve">     งบทดลอง เดือน  พฤษภาคม  2553</t>
  </si>
  <si>
    <t xml:space="preserve">     งบทดลอง เดือน   มิถุนายน  2553</t>
  </si>
  <si>
    <t xml:space="preserve">     งบทดลอง เดือน  กรกฎาคม  2553</t>
  </si>
  <si>
    <t xml:space="preserve">     งบทดลอง เดือน  สิงหาคม  2553</t>
  </si>
  <si>
    <t xml:space="preserve">     งบทดลอง เดือน  กันยายน  2553</t>
  </si>
  <si>
    <t xml:space="preserve">                   - บัญชีเงินอุดหนุนเฉพาะกิจ ( เบี้ยยังชีพผู้สูงอายุ )</t>
  </si>
  <si>
    <t xml:space="preserve">                   - บัญชีเงินอุดหนุนเฉพาะกิจ ( ถ่ายโอนกรมศาสนา )</t>
  </si>
  <si>
    <t xml:space="preserve">                   - บัญชีเงินอุดหนุน ( เฉพาะกิจน้ำประปา )</t>
  </si>
  <si>
    <t xml:space="preserve">                   - บัญชีภาษีอื่น ๆ</t>
  </si>
  <si>
    <t>งบทดลอง 31 ธ.ค.  2552</t>
  </si>
  <si>
    <t>งบทดลอง 30  พ.ย. 2552</t>
  </si>
  <si>
    <t>งบทดลอง 31  ต.ค.2552</t>
  </si>
  <si>
    <t>งบทดลอง 31  ม.ค. 2553</t>
  </si>
  <si>
    <t>งบทดลอง 28  ก.พ. 2553</t>
  </si>
  <si>
    <t>งบทดลอง 31  มี.ค. 2553</t>
  </si>
  <si>
    <t>งบทดลอง 30  เม.ย.  2553</t>
  </si>
  <si>
    <t>งบทดลอง 31  พ.ค. 2553</t>
  </si>
  <si>
    <t>งบทดลอง 30  มิ.ย. 2553</t>
  </si>
  <si>
    <t>งบทดลอง 31  ก.ค. 2553</t>
  </si>
  <si>
    <t>งบทดลอง 31  ส.ค. 2553</t>
  </si>
  <si>
    <t xml:space="preserve">                   - บัญชีงานวันเด็ก</t>
  </si>
  <si>
    <t xml:space="preserve">                   - บัญชีภาษีค่าภาคหลวงปิโตเลี่ยม</t>
  </si>
  <si>
    <t xml:space="preserve">                   - บัญชีดอกเบี้ยเงินฝากธนาคาร</t>
  </si>
  <si>
    <t xml:space="preserve">                   - บัญชีค่าขายแบบแปลน</t>
  </si>
  <si>
    <t xml:space="preserve">                   - บัญชีเงินอุดหนุนศูนย์พัฒนาครอบครัวในชุมชน</t>
  </si>
  <si>
    <t xml:space="preserve">                   - บัญชีเงินอุดหนุนเฉพาะกิจ ( เบี้ยยังชีพผู้พิการ )</t>
  </si>
  <si>
    <t xml:space="preserve">                   - บัญชีเงินอุดหนุนทั่วไป(ไทยเข้มแข็ง)</t>
  </si>
  <si>
    <t xml:space="preserve">                   - บัญชีคืนภาษี นม- อสค.</t>
  </si>
  <si>
    <t xml:space="preserve">                   -  บัญชีภาษีมูลค่าเพิ่ม ตาม พรบ</t>
  </si>
  <si>
    <t>ณ  วันที่  30  กันยายน  2553</t>
  </si>
  <si>
    <t>ณ   วันที่  30   กันยายน  2553</t>
  </si>
  <si>
    <t>งบรายรับ-รายจ่าย ตามงบประมาณ  ประจำปีงบประมาณ  2553</t>
  </si>
  <si>
    <t>ตั้งแต่วันที่  1  ตุลาคม  2552    ถึง    วันที่   30  กันยายน  2553</t>
  </si>
  <si>
    <t>เงินสะสม  เมื่อวันที่  1  ตุลาคม  2552</t>
  </si>
  <si>
    <t xml:space="preserve">                   - บัญชีเงินรับฝากค่าขายแบบ-ไทยเข้มแข็ง</t>
  </si>
  <si>
    <t xml:space="preserve">                   - บัญชีเงินรับฝากค่าขายแบบ-งบประมาณ</t>
  </si>
  <si>
    <t xml:space="preserve">                   - บัญชีเงินรับฝากค่าขายแบบ-ไทยเข้มแฃ็ง</t>
  </si>
  <si>
    <t>เงินสำรองรายรับ  ปี  2553</t>
  </si>
  <si>
    <t>เงินสะสมประจำปี  2553</t>
  </si>
  <si>
    <t>บัญชีขายแบบ-ไทยเข้มแข็ง</t>
  </si>
  <si>
    <t>บัญชีขายแบบ-งบประมาณ</t>
  </si>
  <si>
    <t>บัญชีเงินอุดหนุนทั่วไป-ไทยเข้มแข็ง</t>
  </si>
  <si>
    <t>( นายบุญจันทร์    วงษ์ทอง )</t>
  </si>
  <si>
    <t>บัญชีเงินอุดหนุนเฉพาะกิจ (เบี้ยยังชีพผู้สูงอายุ )</t>
  </si>
  <si>
    <t>บัญชีเงินอุดหนุนเฉพาะกิจ (เบี้ยยังชีพผู้พิการ )</t>
  </si>
  <si>
    <t>บัญชีเงินอุดหนุนทั่วไป(อาหารกลางวัน โรงเรียน สปช.)</t>
  </si>
  <si>
    <t>( นางสาวพวงเพชร   สงคราม )       ( นางเกษราภรณ์   ลำเหลือ )       ( นายบุญจันทร์   วงษ์ทอง )         ( นายจักรวาฬ     เหลาไชย )</t>
  </si>
  <si>
    <t xml:space="preserve">                  ผู้จัดทำ                                      ตรวจสอบถูกต้อง                          </t>
  </si>
  <si>
    <t xml:space="preserve">( นางสาวพวงเพชร   สงคราม )         ( นางเกษราภรณ์    ลำเหลือ )            </t>
  </si>
  <si>
    <t>(นายจักรวาฬ   เหลาไชย )</t>
  </si>
  <si>
    <t xml:space="preserve">     นักวิชาการเงินและบัญชี                      หัวหน้าส่วนการคลัง                                   </t>
  </si>
  <si>
    <t xml:space="preserve"> ปลัด อบต. เมืองเตา</t>
  </si>
  <si>
    <t>นายก อบต.เมืองเตา</t>
  </si>
  <si>
    <t>( นายบุญจันทร์  วงษ์ทอง )</t>
  </si>
  <si>
    <t>องค์การบริหารส่วนตำบลเมืองเตา       อำเภอพยัคฆภูมิพิสัย      จังหวัดมหาสารคาม</t>
  </si>
  <si>
    <t>งบทดลอง  ( หลังปิดบัญชี )</t>
  </si>
  <si>
    <t>ณ วันที่  30 กันยายน  2553</t>
  </si>
  <si>
    <t>ณ  วันที่   30    เดือน  กันยายน   พ.ศ.  2553</t>
  </si>
  <si>
    <r>
      <t>หัก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 xml:space="preserve">    จ่ายจากเงินสะสม</t>
    </r>
  </si>
  <si>
    <t>เงินสะสม  30  กันยายน  2553</t>
  </si>
  <si>
    <t xml:space="preserve">           เงินทุนสำรองเงินสะสม  ปี 2553</t>
  </si>
  <si>
    <t>กระดาษทำการหลังปิดบัญชี  ณ   วันที่  30  กันยายน  2553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</si>
</sst>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1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0"/>
      <name val="Arial"/>
      <family val="2"/>
    </font>
    <font>
      <sz val="8"/>
      <name val="Arial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UPC"/>
      <family val="1"/>
    </font>
    <font>
      <sz val="14"/>
      <name val="Cordia New"/>
      <family val="2"/>
    </font>
    <font>
      <sz val="14"/>
      <name val="AngsanaUPC"/>
      <family val="1"/>
    </font>
    <font>
      <sz val="16"/>
      <color indexed="10"/>
      <name val="AngsanaUPC"/>
      <family val="1"/>
    </font>
    <font>
      <sz val="16"/>
      <name val="Angsana New"/>
      <family val="1"/>
    </font>
    <font>
      <sz val="12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3"/>
      <name val="AngsanaUPC"/>
      <family val="1"/>
    </font>
    <font>
      <sz val="13"/>
      <name val="Angsana New"/>
      <family val="1"/>
    </font>
    <font>
      <sz val="13"/>
      <name val="Cordia New"/>
      <family val="2"/>
    </font>
    <font>
      <b/>
      <sz val="18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6"/>
      <color rgb="FFFF0000"/>
      <name val="AngsanaUPC"/>
      <family val="1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10" xfId="0" applyFont="1" applyBorder="1" applyAlignment="1">
      <alignment shrinkToFit="1"/>
    </xf>
    <xf numFmtId="49" fontId="1" fillId="0" borderId="10" xfId="0" applyNumberFormat="1" applyFont="1" applyBorder="1" applyAlignment="1">
      <alignment horizontal="center" shrinkToFit="1"/>
    </xf>
    <xf numFmtId="0" fontId="1" fillId="0" borderId="0" xfId="0" applyFont="1" applyAlignment="1">
      <alignment shrinkToFit="1"/>
    </xf>
    <xf numFmtId="49" fontId="1" fillId="0" borderId="0" xfId="0" applyNumberFormat="1" applyFont="1" applyAlignment="1">
      <alignment horizontal="center" shrinkToFit="1"/>
    </xf>
    <xf numFmtId="0" fontId="1" fillId="0" borderId="0" xfId="0" applyFont="1" applyAlignment="1">
      <alignment/>
    </xf>
    <xf numFmtId="0" fontId="1" fillId="0" borderId="11" xfId="0" applyFont="1" applyBorder="1" applyAlignment="1">
      <alignment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12" xfId="0" applyNumberFormat="1" applyFont="1" applyBorder="1" applyAlignment="1">
      <alignment horizontal="center" shrinkToFit="1"/>
    </xf>
    <xf numFmtId="43" fontId="1" fillId="0" borderId="0" xfId="38" applyFont="1" applyAlignment="1">
      <alignment/>
    </xf>
    <xf numFmtId="43" fontId="1" fillId="0" borderId="13" xfId="38" applyFont="1" applyBorder="1" applyAlignment="1">
      <alignment horizontal="center" shrinkToFit="1"/>
    </xf>
    <xf numFmtId="43" fontId="1" fillId="0" borderId="10" xfId="38" applyFont="1" applyBorder="1" applyAlignment="1">
      <alignment horizontal="center" shrinkToFit="1"/>
    </xf>
    <xf numFmtId="43" fontId="1" fillId="0" borderId="11" xfId="38" applyFont="1" applyBorder="1" applyAlignment="1">
      <alignment horizontal="center" shrinkToFit="1"/>
    </xf>
    <xf numFmtId="43" fontId="1" fillId="0" borderId="12" xfId="38" applyFont="1" applyBorder="1" applyAlignment="1">
      <alignment horizontal="center" shrinkToFit="1"/>
    </xf>
    <xf numFmtId="43" fontId="1" fillId="0" borderId="14" xfId="38" applyFont="1" applyBorder="1" applyAlignment="1">
      <alignment shrinkToFit="1"/>
    </xf>
    <xf numFmtId="43" fontId="1" fillId="0" borderId="0" xfId="38" applyFont="1" applyAlignment="1">
      <alignment shrinkToFit="1"/>
    </xf>
    <xf numFmtId="43" fontId="1" fillId="0" borderId="0" xfId="38" applyFont="1" applyAlignment="1">
      <alignment horizontal="center" shrinkToFit="1"/>
    </xf>
    <xf numFmtId="43" fontId="2" fillId="0" borderId="0" xfId="38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38" applyFont="1" applyAlignment="1">
      <alignment horizontal="center"/>
    </xf>
    <xf numFmtId="43" fontId="1" fillId="0" borderId="0" xfId="38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15" xfId="38" applyFont="1" applyBorder="1" applyAlignment="1">
      <alignment horizontal="center" vertical="center"/>
    </xf>
    <xf numFmtId="43" fontId="1" fillId="0" borderId="16" xfId="38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3" fontId="1" fillId="0" borderId="18" xfId="38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3" fontId="1" fillId="0" borderId="19" xfId="38" applyFont="1" applyBorder="1" applyAlignment="1">
      <alignment horizontal="center" shrinkToFit="1"/>
    </xf>
    <xf numFmtId="9" fontId="2" fillId="0" borderId="0" xfId="48" applyFont="1" applyAlignment="1">
      <alignment horizontal="center"/>
    </xf>
    <xf numFmtId="9" fontId="1" fillId="0" borderId="19" xfId="48" applyFont="1" applyBorder="1" applyAlignment="1">
      <alignment horizontal="center" vertical="center"/>
    </xf>
    <xf numFmtId="9" fontId="1" fillId="0" borderId="16" xfId="48" applyFont="1" applyBorder="1" applyAlignment="1">
      <alignment horizontal="center" vertical="center"/>
    </xf>
    <xf numFmtId="9" fontId="1" fillId="0" borderId="0" xfId="48" applyFont="1" applyAlignment="1">
      <alignment horizontal="center" shrinkToFit="1"/>
    </xf>
    <xf numFmtId="9" fontId="1" fillId="0" borderId="0" xfId="48" applyFont="1" applyAlignment="1">
      <alignment/>
    </xf>
    <xf numFmtId="43" fontId="1" fillId="0" borderId="20" xfId="38" applyFont="1" applyBorder="1" applyAlignment="1">
      <alignment horizontal="center" vertical="center"/>
    </xf>
    <xf numFmtId="43" fontId="1" fillId="0" borderId="21" xfId="38" applyFont="1" applyBorder="1" applyAlignment="1">
      <alignment horizontal="center" shrinkToFit="1"/>
    </xf>
    <xf numFmtId="49" fontId="1" fillId="0" borderId="10" xfId="0" applyNumberFormat="1" applyFont="1" applyBorder="1" applyAlignment="1">
      <alignment horizontal="center"/>
    </xf>
    <xf numFmtId="43" fontId="1" fillId="0" borderId="0" xfId="38" applyFont="1" applyBorder="1" applyAlignment="1">
      <alignment shrinkToFit="1"/>
    </xf>
    <xf numFmtId="43" fontId="1" fillId="0" borderId="22" xfId="38" applyFont="1" applyBorder="1" applyAlignment="1">
      <alignment shrinkToFit="1"/>
    </xf>
    <xf numFmtId="0" fontId="1" fillId="0" borderId="23" xfId="0" applyFont="1" applyBorder="1" applyAlignment="1">
      <alignment shrinkToFit="1"/>
    </xf>
    <xf numFmtId="0" fontId="1" fillId="0" borderId="24" xfId="0" applyFont="1" applyBorder="1" applyAlignment="1">
      <alignment shrinkToFit="1"/>
    </xf>
    <xf numFmtId="49" fontId="1" fillId="0" borderId="24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9" fontId="1" fillId="0" borderId="0" xfId="48" applyFont="1" applyBorder="1" applyAlignment="1">
      <alignment horizontal="center" shrinkToFit="1"/>
    </xf>
    <xf numFmtId="49" fontId="1" fillId="0" borderId="25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/>
    </xf>
    <xf numFmtId="43" fontId="1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43" fontId="1" fillId="0" borderId="26" xfId="38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43" fontId="0" fillId="0" borderId="0" xfId="38" applyFont="1" applyAlignment="1">
      <alignment/>
    </xf>
    <xf numFmtId="43" fontId="1" fillId="0" borderId="27" xfId="38" applyFont="1" applyBorder="1" applyAlignment="1">
      <alignment horizontal="center" shrinkToFit="1"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9" fontId="6" fillId="0" borderId="0" xfId="48" applyFont="1" applyAlignment="1">
      <alignment horizontal="center"/>
    </xf>
    <xf numFmtId="43" fontId="6" fillId="0" borderId="0" xfId="38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8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1" fontId="7" fillId="0" borderId="0" xfId="38" applyNumberFormat="1" applyFont="1" applyBorder="1" applyAlignment="1">
      <alignment horizontal="center" shrinkToFit="1"/>
    </xf>
    <xf numFmtId="43" fontId="7" fillId="0" borderId="0" xfId="38" applyFont="1" applyAlignment="1">
      <alignment/>
    </xf>
    <xf numFmtId="0" fontId="7" fillId="0" borderId="0" xfId="0" applyFont="1" applyAlignment="1">
      <alignment shrinkToFit="1"/>
    </xf>
    <xf numFmtId="43" fontId="7" fillId="0" borderId="0" xfId="0" applyNumberFormat="1" applyFont="1" applyBorder="1" applyAlignment="1">
      <alignment/>
    </xf>
    <xf numFmtId="9" fontId="7" fillId="0" borderId="0" xfId="48" applyFont="1" applyAlignment="1">
      <alignment/>
    </xf>
    <xf numFmtId="0" fontId="7" fillId="0" borderId="0" xfId="0" applyFont="1" applyBorder="1" applyAlignment="1">
      <alignment/>
    </xf>
    <xf numFmtId="43" fontId="10" fillId="0" borderId="0" xfId="38" applyFont="1" applyAlignment="1">
      <alignment horizontal="center" shrinkToFit="1"/>
    </xf>
    <xf numFmtId="43" fontId="1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3" fontId="12" fillId="0" borderId="0" xfId="38" applyFont="1" applyAlignment="1">
      <alignment/>
    </xf>
    <xf numFmtId="0" fontId="12" fillId="0" borderId="0" xfId="0" applyFont="1" applyAlignment="1">
      <alignment/>
    </xf>
    <xf numFmtId="43" fontId="5" fillId="0" borderId="0" xfId="38" applyFont="1" applyBorder="1" applyAlignment="1">
      <alignment/>
    </xf>
    <xf numFmtId="43" fontId="5" fillId="0" borderId="0" xfId="38" applyFont="1" applyBorder="1" applyAlignment="1">
      <alignment horizontal="center" vertical="center"/>
    </xf>
    <xf numFmtId="39" fontId="5" fillId="0" borderId="0" xfId="38" applyNumberFormat="1" applyFont="1" applyBorder="1" applyAlignment="1">
      <alignment/>
    </xf>
    <xf numFmtId="43" fontId="12" fillId="0" borderId="0" xfId="38" applyFont="1" applyBorder="1" applyAlignment="1">
      <alignment/>
    </xf>
    <xf numFmtId="43" fontId="5" fillId="0" borderId="0" xfId="38" applyFont="1" applyAlignment="1">
      <alignment/>
    </xf>
    <xf numFmtId="0" fontId="5" fillId="0" borderId="0" xfId="0" applyFont="1" applyAlignment="1">
      <alignment/>
    </xf>
    <xf numFmtId="39" fontId="12" fillId="0" borderId="0" xfId="38" applyNumberFormat="1" applyFont="1" applyBorder="1" applyAlignment="1">
      <alignment/>
    </xf>
    <xf numFmtId="43" fontId="6" fillId="0" borderId="0" xfId="38" applyFont="1" applyAlignment="1">
      <alignment/>
    </xf>
    <xf numFmtId="43" fontId="6" fillId="0" borderId="0" xfId="38" applyNumberFormat="1" applyFont="1" applyAlignment="1">
      <alignment horizontal="center"/>
    </xf>
    <xf numFmtId="9" fontId="7" fillId="0" borderId="29" xfId="48" applyFont="1" applyBorder="1" applyAlignment="1">
      <alignment horizontal="center" vertical="center"/>
    </xf>
    <xf numFmtId="9" fontId="7" fillId="0" borderId="30" xfId="48" applyFont="1" applyBorder="1" applyAlignment="1">
      <alignment horizontal="center" vertical="center"/>
    </xf>
    <xf numFmtId="9" fontId="7" fillId="0" borderId="31" xfId="48" applyFont="1" applyBorder="1" applyAlignment="1">
      <alignment horizontal="center" vertical="center"/>
    </xf>
    <xf numFmtId="43" fontId="7" fillId="0" borderId="32" xfId="38" applyFont="1" applyBorder="1" applyAlignment="1">
      <alignment horizontal="center" vertical="center"/>
    </xf>
    <xf numFmtId="43" fontId="7" fillId="0" borderId="33" xfId="38" applyFont="1" applyBorder="1" applyAlignment="1">
      <alignment horizontal="center" vertical="center"/>
    </xf>
    <xf numFmtId="43" fontId="7" fillId="0" borderId="34" xfId="38" applyFont="1" applyBorder="1" applyAlignment="1">
      <alignment horizontal="center" vertical="center"/>
    </xf>
    <xf numFmtId="43" fontId="7" fillId="0" borderId="35" xfId="38" applyFont="1" applyBorder="1" applyAlignment="1">
      <alignment horizontal="center" vertical="center"/>
    </xf>
    <xf numFmtId="43" fontId="7" fillId="0" borderId="36" xfId="38" applyFont="1" applyBorder="1" applyAlignment="1">
      <alignment horizontal="center" vertical="center"/>
    </xf>
    <xf numFmtId="43" fontId="7" fillId="0" borderId="34" xfId="38" applyNumberFormat="1" applyFont="1" applyBorder="1" applyAlignment="1">
      <alignment horizontal="center" vertical="center"/>
    </xf>
    <xf numFmtId="43" fontId="7" fillId="0" borderId="37" xfId="38" applyNumberFormat="1" applyFont="1" applyBorder="1" applyAlignment="1">
      <alignment horizontal="center" shrinkToFit="1"/>
    </xf>
    <xf numFmtId="43" fontId="7" fillId="0" borderId="38" xfId="38" applyFont="1" applyBorder="1" applyAlignment="1">
      <alignment horizontal="center" shrinkToFit="1"/>
    </xf>
    <xf numFmtId="43" fontId="7" fillId="0" borderId="37" xfId="38" applyFont="1" applyBorder="1" applyAlignment="1">
      <alignment horizontal="center" shrinkToFit="1"/>
    </xf>
    <xf numFmtId="43" fontId="7" fillId="0" borderId="39" xfId="38" applyFont="1" applyBorder="1" applyAlignment="1">
      <alignment horizontal="center" shrinkToFit="1"/>
    </xf>
    <xf numFmtId="43" fontId="7" fillId="0" borderId="38" xfId="38" applyNumberFormat="1" applyFont="1" applyBorder="1" applyAlignment="1">
      <alignment horizontal="center" shrinkToFit="1"/>
    </xf>
    <xf numFmtId="43" fontId="7" fillId="0" borderId="40" xfId="38" applyNumberFormat="1" applyFont="1" applyBorder="1" applyAlignment="1">
      <alignment horizontal="center" shrinkToFit="1"/>
    </xf>
    <xf numFmtId="43" fontId="7" fillId="0" borderId="41" xfId="38" applyFont="1" applyBorder="1" applyAlignment="1">
      <alignment horizontal="center" shrinkToFit="1"/>
    </xf>
    <xf numFmtId="43" fontId="7" fillId="0" borderId="40" xfId="38" applyFont="1" applyBorder="1" applyAlignment="1">
      <alignment horizontal="center" shrinkToFit="1"/>
    </xf>
    <xf numFmtId="43" fontId="7" fillId="0" borderId="42" xfId="38" applyFont="1" applyBorder="1" applyAlignment="1">
      <alignment horizontal="center" shrinkToFit="1"/>
    </xf>
    <xf numFmtId="43" fontId="7" fillId="0" borderId="41" xfId="38" applyNumberFormat="1" applyFont="1" applyBorder="1" applyAlignment="1">
      <alignment horizontal="center" shrinkToFit="1"/>
    </xf>
    <xf numFmtId="43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1" fontId="7" fillId="0" borderId="43" xfId="38" applyNumberFormat="1" applyFont="1" applyBorder="1" applyAlignment="1">
      <alignment horizontal="center" shrinkToFit="1"/>
    </xf>
    <xf numFmtId="43" fontId="6" fillId="0" borderId="44" xfId="38" applyFont="1" applyBorder="1" applyAlignment="1">
      <alignment shrinkToFit="1"/>
    </xf>
    <xf numFmtId="43" fontId="6" fillId="0" borderId="45" xfId="38" applyFont="1" applyBorder="1" applyAlignment="1">
      <alignment shrinkToFit="1"/>
    </xf>
    <xf numFmtId="43" fontId="6" fillId="0" borderId="46" xfId="38" applyNumberFormat="1" applyFont="1" applyBorder="1" applyAlignment="1">
      <alignment shrinkToFit="1"/>
    </xf>
    <xf numFmtId="43" fontId="7" fillId="0" borderId="0" xfId="38" applyFont="1" applyBorder="1" applyAlignment="1">
      <alignment/>
    </xf>
    <xf numFmtId="43" fontId="13" fillId="0" borderId="0" xfId="38" applyFont="1" applyBorder="1" applyAlignment="1">
      <alignment/>
    </xf>
    <xf numFmtId="43" fontId="7" fillId="0" borderId="0" xfId="38" applyNumberFormat="1" applyFont="1" applyBorder="1" applyAlignment="1">
      <alignment/>
    </xf>
    <xf numFmtId="0" fontId="7" fillId="0" borderId="0" xfId="0" applyFont="1" applyAlignment="1">
      <alignment horizontal="center" shrinkToFit="1"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3" fontId="7" fillId="0" borderId="0" xfId="38" applyFont="1" applyFill="1" applyAlignment="1">
      <alignment/>
    </xf>
    <xf numFmtId="43" fontId="7" fillId="0" borderId="0" xfId="0" applyNumberFormat="1" applyFont="1" applyBorder="1" applyAlignment="1">
      <alignment horizontal="center"/>
    </xf>
    <xf numFmtId="43" fontId="7" fillId="0" borderId="0" xfId="38" applyNumberFormat="1" applyFont="1" applyAlignment="1">
      <alignment/>
    </xf>
    <xf numFmtId="9" fontId="7" fillId="0" borderId="0" xfId="48" applyFont="1" applyBorder="1" applyAlignment="1">
      <alignment/>
    </xf>
    <xf numFmtId="0" fontId="7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0" xfId="0" applyFont="1" applyAlignment="1">
      <alignment/>
    </xf>
    <xf numFmtId="0" fontId="15" fillId="0" borderId="19" xfId="0" applyFont="1" applyBorder="1" applyAlignment="1">
      <alignment horizontal="center"/>
    </xf>
    <xf numFmtId="43" fontId="10" fillId="0" borderId="19" xfId="38" applyFont="1" applyBorder="1" applyAlignment="1">
      <alignment/>
    </xf>
    <xf numFmtId="43" fontId="10" fillId="0" borderId="17" xfId="38" applyFont="1" applyBorder="1" applyAlignment="1">
      <alignment/>
    </xf>
    <xf numFmtId="0" fontId="15" fillId="0" borderId="19" xfId="0" applyFont="1" applyBorder="1" applyAlignment="1">
      <alignment/>
    </xf>
    <xf numFmtId="0" fontId="10" fillId="0" borderId="47" xfId="0" applyFont="1" applyBorder="1" applyAlignment="1">
      <alignment/>
    </xf>
    <xf numFmtId="43" fontId="10" fillId="0" borderId="47" xfId="38" applyFont="1" applyBorder="1" applyAlignment="1">
      <alignment/>
    </xf>
    <xf numFmtId="43" fontId="14" fillId="0" borderId="48" xfId="38" applyFont="1" applyBorder="1" applyAlignment="1">
      <alignment/>
    </xf>
    <xf numFmtId="43" fontId="14" fillId="0" borderId="14" xfId="38" applyFont="1" applyBorder="1" applyAlignment="1">
      <alignment/>
    </xf>
    <xf numFmtId="43" fontId="10" fillId="0" borderId="26" xfId="38" applyFont="1" applyBorder="1" applyAlignment="1">
      <alignment/>
    </xf>
    <xf numFmtId="43" fontId="14" fillId="0" borderId="47" xfId="38" applyFont="1" applyBorder="1" applyAlignment="1">
      <alignment/>
    </xf>
    <xf numFmtId="43" fontId="14" fillId="0" borderId="33" xfId="38" applyFont="1" applyBorder="1" applyAlignment="1">
      <alignment/>
    </xf>
    <xf numFmtId="43" fontId="10" fillId="0" borderId="0" xfId="0" applyNumberFormat="1" applyFont="1" applyAlignment="1">
      <alignment/>
    </xf>
    <xf numFmtId="43" fontId="10" fillId="0" borderId="49" xfId="38" applyFont="1" applyBorder="1" applyAlignment="1">
      <alignment/>
    </xf>
    <xf numFmtId="0" fontId="16" fillId="0" borderId="47" xfId="0" applyFont="1" applyBorder="1" applyAlignment="1">
      <alignment/>
    </xf>
    <xf numFmtId="0" fontId="15" fillId="0" borderId="47" xfId="0" applyFont="1" applyBorder="1" applyAlignment="1">
      <alignment/>
    </xf>
    <xf numFmtId="0" fontId="10" fillId="0" borderId="47" xfId="0" applyFont="1" applyBorder="1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43" fontId="10" fillId="0" borderId="0" xfId="38" applyFont="1" applyBorder="1" applyAlignment="1">
      <alignment/>
    </xf>
    <xf numFmtId="0" fontId="10" fillId="0" borderId="16" xfId="0" applyFont="1" applyBorder="1" applyAlignment="1">
      <alignment/>
    </xf>
    <xf numFmtId="43" fontId="10" fillId="0" borderId="16" xfId="38" applyFont="1" applyBorder="1" applyAlignment="1">
      <alignment/>
    </xf>
    <xf numFmtId="0" fontId="9" fillId="0" borderId="24" xfId="0" applyFont="1" applyBorder="1" applyAlignment="1">
      <alignment/>
    </xf>
    <xf numFmtId="43" fontId="9" fillId="0" borderId="25" xfId="38" applyFont="1" applyBorder="1" applyAlignment="1">
      <alignment/>
    </xf>
    <xf numFmtId="43" fontId="14" fillId="0" borderId="50" xfId="38" applyFont="1" applyBorder="1" applyAlignment="1">
      <alignment vertical="center"/>
    </xf>
    <xf numFmtId="43" fontId="9" fillId="0" borderId="24" xfId="0" applyNumberFormat="1" applyFont="1" applyBorder="1" applyAlignment="1">
      <alignment/>
    </xf>
    <xf numFmtId="43" fontId="9" fillId="0" borderId="24" xfId="38" applyFont="1" applyBorder="1" applyAlignment="1">
      <alignment/>
    </xf>
    <xf numFmtId="43" fontId="14" fillId="0" borderId="51" xfId="38" applyFont="1" applyBorder="1" applyAlignment="1">
      <alignment vertical="center"/>
    </xf>
    <xf numFmtId="0" fontId="13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0" fontId="18" fillId="0" borderId="0" xfId="0" applyFont="1" applyAlignment="1">
      <alignment/>
    </xf>
    <xf numFmtId="0" fontId="13" fillId="0" borderId="0" xfId="0" applyFont="1" applyAlignment="1">
      <alignment shrinkToFit="1"/>
    </xf>
    <xf numFmtId="4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3" fontId="13" fillId="0" borderId="0" xfId="38" applyFont="1" applyAlignment="1">
      <alignment/>
    </xf>
    <xf numFmtId="43" fontId="17" fillId="0" borderId="0" xfId="38" applyFont="1" applyFill="1" applyAlignment="1">
      <alignment/>
    </xf>
    <xf numFmtId="43" fontId="17" fillId="0" borderId="0" xfId="38" applyFont="1" applyAlignment="1">
      <alignment/>
    </xf>
    <xf numFmtId="43" fontId="13" fillId="0" borderId="0" xfId="0" applyNumberFormat="1" applyFont="1" applyBorder="1" applyAlignment="1">
      <alignment horizontal="center"/>
    </xf>
    <xf numFmtId="43" fontId="1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2" xfId="0" applyFont="1" applyBorder="1" applyAlignment="1">
      <alignment/>
    </xf>
    <xf numFmtId="3" fontId="12" fillId="0" borderId="53" xfId="0" applyNumberFormat="1" applyFont="1" applyBorder="1" applyAlignment="1">
      <alignment/>
    </xf>
    <xf numFmtId="49" fontId="12" fillId="0" borderId="53" xfId="0" applyNumberFormat="1" applyFont="1" applyBorder="1" applyAlignment="1">
      <alignment horizontal="center"/>
    </xf>
    <xf numFmtId="3" fontId="12" fillId="0" borderId="52" xfId="38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3" fontId="12" fillId="0" borderId="54" xfId="0" applyNumberFormat="1" applyFont="1" applyBorder="1" applyAlignment="1">
      <alignment horizontal="center"/>
    </xf>
    <xf numFmtId="3" fontId="12" fillId="0" borderId="55" xfId="38" applyNumberFormat="1" applyFont="1" applyBorder="1" applyAlignment="1">
      <alignment horizontal="center"/>
    </xf>
    <xf numFmtId="0" fontId="12" fillId="0" borderId="55" xfId="38" applyNumberFormat="1" applyFont="1" applyBorder="1" applyAlignment="1">
      <alignment horizontal="center"/>
    </xf>
    <xf numFmtId="0" fontId="12" fillId="0" borderId="55" xfId="0" applyFont="1" applyBorder="1" applyAlignment="1">
      <alignment/>
    </xf>
    <xf numFmtId="3" fontId="12" fillId="0" borderId="56" xfId="38" applyNumberFormat="1" applyFont="1" applyBorder="1" applyAlignment="1">
      <alignment/>
    </xf>
    <xf numFmtId="49" fontId="12" fillId="0" borderId="56" xfId="38" applyNumberFormat="1" applyFont="1" applyBorder="1" applyAlignment="1">
      <alignment horizontal="center"/>
    </xf>
    <xf numFmtId="3" fontId="12" fillId="0" borderId="55" xfId="0" applyNumberFormat="1" applyFont="1" applyBorder="1" applyAlignment="1">
      <alignment horizontal="center"/>
    </xf>
    <xf numFmtId="3" fontId="12" fillId="0" borderId="55" xfId="0" applyNumberFormat="1" applyFont="1" applyBorder="1" applyAlignment="1">
      <alignment/>
    </xf>
    <xf numFmtId="0" fontId="12" fillId="0" borderId="56" xfId="38" applyNumberFormat="1" applyFont="1" applyBorder="1" applyAlignment="1">
      <alignment horizontal="center"/>
    </xf>
    <xf numFmtId="3" fontId="12" fillId="0" borderId="55" xfId="38" applyNumberFormat="1" applyFont="1" applyBorder="1" applyAlignment="1">
      <alignment/>
    </xf>
    <xf numFmtId="3" fontId="12" fillId="0" borderId="57" xfId="38" applyNumberFormat="1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12" fillId="0" borderId="58" xfId="0" applyFont="1" applyBorder="1" applyAlignment="1">
      <alignment/>
    </xf>
    <xf numFmtId="3" fontId="12" fillId="0" borderId="59" xfId="38" applyNumberFormat="1" applyFont="1" applyBorder="1" applyAlignment="1">
      <alignment/>
    </xf>
    <xf numFmtId="49" fontId="12" fillId="0" borderId="59" xfId="38" applyNumberFormat="1" applyFont="1" applyBorder="1" applyAlignment="1">
      <alignment horizontal="center"/>
    </xf>
    <xf numFmtId="3" fontId="12" fillId="0" borderId="58" xfId="38" applyNumberFormat="1" applyFont="1" applyBorder="1" applyAlignment="1">
      <alignment/>
    </xf>
    <xf numFmtId="3" fontId="12" fillId="0" borderId="58" xfId="0" applyNumberFormat="1" applyFont="1" applyBorder="1" applyAlignment="1">
      <alignment/>
    </xf>
    <xf numFmtId="3" fontId="12" fillId="0" borderId="60" xfId="38" applyNumberFormat="1" applyFont="1" applyBorder="1" applyAlignment="1">
      <alignment/>
    </xf>
    <xf numFmtId="3" fontId="12" fillId="0" borderId="60" xfId="0" applyNumberFormat="1" applyFont="1" applyBorder="1" applyAlignment="1">
      <alignment horizontal="center"/>
    </xf>
    <xf numFmtId="3" fontId="12" fillId="0" borderId="61" xfId="38" applyNumberFormat="1" applyFont="1" applyBorder="1" applyAlignment="1">
      <alignment/>
    </xf>
    <xf numFmtId="0" fontId="12" fillId="0" borderId="0" xfId="0" applyFont="1" applyBorder="1" applyAlignment="1">
      <alignment/>
    </xf>
    <xf numFmtId="3" fontId="5" fillId="0" borderId="62" xfId="38" applyNumberFormat="1" applyFont="1" applyBorder="1" applyAlignment="1">
      <alignment horizontal="center"/>
    </xf>
    <xf numFmtId="0" fontId="5" fillId="0" borderId="63" xfId="38" applyNumberFormat="1" applyFont="1" applyBorder="1" applyAlignment="1">
      <alignment horizontal="center"/>
    </xf>
    <xf numFmtId="0" fontId="5" fillId="0" borderId="62" xfId="38" applyNumberFormat="1" applyFont="1" applyBorder="1" applyAlignment="1">
      <alignment horizontal="center"/>
    </xf>
    <xf numFmtId="3" fontId="5" fillId="0" borderId="62" xfId="0" applyNumberFormat="1" applyFont="1" applyBorder="1" applyAlignment="1">
      <alignment/>
    </xf>
    <xf numFmtId="3" fontId="5" fillId="0" borderId="62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/>
    </xf>
    <xf numFmtId="3" fontId="5" fillId="0" borderId="0" xfId="38" applyNumberFormat="1" applyFont="1" applyBorder="1" applyAlignment="1">
      <alignment/>
    </xf>
    <xf numFmtId="49" fontId="5" fillId="0" borderId="0" xfId="38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3" fontId="12" fillId="0" borderId="0" xfId="38" applyNumberFormat="1" applyFont="1" applyBorder="1" applyAlignment="1">
      <alignment/>
    </xf>
    <xf numFmtId="49" fontId="12" fillId="0" borderId="0" xfId="38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shrinkToFit="1"/>
    </xf>
    <xf numFmtId="0" fontId="12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1" fillId="0" borderId="65" xfId="0" applyNumberFormat="1" applyFont="1" applyBorder="1" applyAlignment="1">
      <alignment horizontal="center" shrinkToFit="1"/>
    </xf>
    <xf numFmtId="49" fontId="1" fillId="0" borderId="66" xfId="0" applyNumberFormat="1" applyFont="1" applyBorder="1" applyAlignment="1">
      <alignment horizontal="center" shrinkToFit="1"/>
    </xf>
    <xf numFmtId="49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 shrinkToFit="1"/>
    </xf>
    <xf numFmtId="43" fontId="6" fillId="0" borderId="69" xfId="38" applyFont="1" applyBorder="1" applyAlignment="1">
      <alignment shrinkToFit="1"/>
    </xf>
    <xf numFmtId="43" fontId="6" fillId="0" borderId="70" xfId="38" applyFont="1" applyBorder="1" applyAlignment="1">
      <alignment shrinkToFit="1"/>
    </xf>
    <xf numFmtId="43" fontId="14" fillId="0" borderId="44" xfId="38" applyFont="1" applyBorder="1" applyAlignment="1">
      <alignment shrinkToFit="1"/>
    </xf>
    <xf numFmtId="43" fontId="14" fillId="0" borderId="45" xfId="38" applyFont="1" applyBorder="1" applyAlignment="1">
      <alignment shrinkToFit="1"/>
    </xf>
    <xf numFmtId="0" fontId="8" fillId="0" borderId="47" xfId="0" applyFont="1" applyBorder="1" applyAlignment="1">
      <alignment/>
    </xf>
    <xf numFmtId="0" fontId="8" fillId="0" borderId="26" xfId="0" applyFont="1" applyBorder="1" applyAlignment="1">
      <alignment shrinkToFit="1"/>
    </xf>
    <xf numFmtId="43" fontId="11" fillId="0" borderId="10" xfId="38" applyFont="1" applyBorder="1" applyAlignment="1">
      <alignment horizontal="center" shrinkToFit="1"/>
    </xf>
    <xf numFmtId="0" fontId="11" fillId="0" borderId="0" xfId="0" applyFont="1" applyAlignment="1">
      <alignment/>
    </xf>
    <xf numFmtId="43" fontId="6" fillId="0" borderId="16" xfId="38" applyFont="1" applyBorder="1" applyAlignment="1">
      <alignment horizontal="center" vertical="center"/>
    </xf>
    <xf numFmtId="43" fontId="6" fillId="0" borderId="47" xfId="38" applyFont="1" applyBorder="1" applyAlignment="1">
      <alignment/>
    </xf>
    <xf numFmtId="43" fontId="7" fillId="0" borderId="19" xfId="38" applyFont="1" applyBorder="1" applyAlignment="1">
      <alignment/>
    </xf>
    <xf numFmtId="39" fontId="7" fillId="0" borderId="19" xfId="38" applyNumberFormat="1" applyFont="1" applyBorder="1" applyAlignment="1">
      <alignment/>
    </xf>
    <xf numFmtId="43" fontId="7" fillId="0" borderId="47" xfId="38" applyFont="1" applyBorder="1" applyAlignment="1">
      <alignment horizontal="left" indent="1"/>
    </xf>
    <xf numFmtId="43" fontId="7" fillId="0" borderId="47" xfId="38" applyFont="1" applyBorder="1" applyAlignment="1">
      <alignment/>
    </xf>
    <xf numFmtId="43" fontId="7" fillId="0" borderId="47" xfId="38" applyFont="1" applyBorder="1" applyAlignment="1">
      <alignment horizontal="center" vertical="center"/>
    </xf>
    <xf numFmtId="39" fontId="7" fillId="0" borderId="47" xfId="38" applyNumberFormat="1" applyFont="1" applyBorder="1" applyAlignment="1">
      <alignment/>
    </xf>
    <xf numFmtId="43" fontId="7" fillId="0" borderId="47" xfId="38" applyFont="1" applyBorder="1" applyAlignment="1">
      <alignment horizontal="center"/>
    </xf>
    <xf numFmtId="43" fontId="6" fillId="0" borderId="20" xfId="38" applyFont="1" applyBorder="1" applyAlignment="1">
      <alignment horizontal="center"/>
    </xf>
    <xf numFmtId="43" fontId="6" fillId="0" borderId="20" xfId="38" applyFont="1" applyBorder="1" applyAlignment="1">
      <alignment/>
    </xf>
    <xf numFmtId="43" fontId="7" fillId="0" borderId="20" xfId="38" applyFont="1" applyBorder="1" applyAlignment="1">
      <alignment horizontal="center"/>
    </xf>
    <xf numFmtId="43" fontId="7" fillId="0" borderId="47" xfId="38" applyFont="1" applyBorder="1" applyAlignment="1">
      <alignment horizontal="left"/>
    </xf>
    <xf numFmtId="43" fontId="6" fillId="0" borderId="22" xfId="38" applyFont="1" applyBorder="1" applyAlignment="1">
      <alignment/>
    </xf>
    <xf numFmtId="43" fontId="7" fillId="0" borderId="22" xfId="38" applyFont="1" applyBorder="1" applyAlignment="1">
      <alignment horizontal="center"/>
    </xf>
    <xf numFmtId="43" fontId="7" fillId="0" borderId="26" xfId="38" applyFont="1" applyBorder="1" applyAlignment="1">
      <alignment horizontal="center" vertical="center"/>
    </xf>
    <xf numFmtId="43" fontId="6" fillId="0" borderId="20" xfId="38" applyFont="1" applyBorder="1" applyAlignment="1">
      <alignment horizontal="left"/>
    </xf>
    <xf numFmtId="43" fontId="6" fillId="0" borderId="20" xfId="38" applyFont="1" applyBorder="1" applyAlignment="1">
      <alignment horizontal="center" vertical="center"/>
    </xf>
    <xf numFmtId="39" fontId="6" fillId="0" borderId="20" xfId="38" applyNumberFormat="1" applyFont="1" applyBorder="1" applyAlignment="1">
      <alignment/>
    </xf>
    <xf numFmtId="43" fontId="7" fillId="0" borderId="47" xfId="38" applyNumberFormat="1" applyFont="1" applyBorder="1" applyAlignment="1">
      <alignment/>
    </xf>
    <xf numFmtId="43" fontId="6" fillId="0" borderId="22" xfId="38" applyFont="1" applyBorder="1" applyAlignment="1">
      <alignment horizontal="center" vertical="center"/>
    </xf>
    <xf numFmtId="43" fontId="6" fillId="0" borderId="22" xfId="38" applyNumberFormat="1" applyFont="1" applyBorder="1" applyAlignment="1">
      <alignment/>
    </xf>
    <xf numFmtId="39" fontId="7" fillId="0" borderId="16" xfId="38" applyNumberFormat="1" applyFont="1" applyBorder="1" applyAlignment="1">
      <alignment/>
    </xf>
    <xf numFmtId="43" fontId="7" fillId="0" borderId="20" xfId="38" applyFont="1" applyBorder="1" applyAlignment="1">
      <alignment horizontal="center" vertical="center"/>
    </xf>
    <xf numFmtId="39" fontId="7" fillId="0" borderId="20" xfId="38" applyNumberFormat="1" applyFont="1" applyBorder="1" applyAlignment="1">
      <alignment/>
    </xf>
    <xf numFmtId="43" fontId="6" fillId="0" borderId="71" xfId="38" applyFont="1" applyBorder="1" applyAlignment="1">
      <alignment/>
    </xf>
    <xf numFmtId="43" fontId="7" fillId="0" borderId="71" xfId="38" applyFont="1" applyBorder="1" applyAlignment="1">
      <alignment horizontal="center" vertical="center"/>
    </xf>
    <xf numFmtId="39" fontId="6" fillId="0" borderId="71" xfId="38" applyNumberFormat="1" applyFont="1" applyBorder="1" applyAlignment="1">
      <alignment/>
    </xf>
    <xf numFmtId="43" fontId="6" fillId="0" borderId="0" xfId="38" applyFont="1" applyBorder="1" applyAlignment="1">
      <alignment/>
    </xf>
    <xf numFmtId="43" fontId="1" fillId="0" borderId="47" xfId="38" applyFont="1" applyBorder="1" applyAlignment="1">
      <alignment horizontal="center" shrinkToFit="1"/>
    </xf>
    <xf numFmtId="0" fontId="1" fillId="0" borderId="12" xfId="0" applyFont="1" applyBorder="1" applyAlignment="1">
      <alignment/>
    </xf>
    <xf numFmtId="43" fontId="2" fillId="0" borderId="0" xfId="38" applyFont="1" applyBorder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3" fontId="1" fillId="0" borderId="20" xfId="38" applyFont="1" applyBorder="1" applyAlignment="1">
      <alignment shrinkToFit="1"/>
    </xf>
    <xf numFmtId="14" fontId="0" fillId="0" borderId="0" xfId="0" applyNumberFormat="1" applyAlignment="1">
      <alignment/>
    </xf>
    <xf numFmtId="43" fontId="0" fillId="33" borderId="0" xfId="38" applyFont="1" applyFill="1" applyAlignment="1">
      <alignment/>
    </xf>
    <xf numFmtId="43" fontId="1" fillId="0" borderId="10" xfId="38" applyFont="1" applyFill="1" applyBorder="1" applyAlignment="1">
      <alignment horizontal="center" shrinkToFit="1"/>
    </xf>
    <xf numFmtId="43" fontId="1" fillId="0" borderId="23" xfId="38" applyFont="1" applyBorder="1" applyAlignment="1">
      <alignment horizontal="center" shrinkToFit="1"/>
    </xf>
    <xf numFmtId="43" fontId="11" fillId="0" borderId="0" xfId="38" applyFont="1" applyAlignment="1">
      <alignment/>
    </xf>
    <xf numFmtId="43" fontId="10" fillId="0" borderId="0" xfId="38" applyFont="1" applyAlignment="1">
      <alignment/>
    </xf>
    <xf numFmtId="43" fontId="1" fillId="34" borderId="11" xfId="38" applyFont="1" applyFill="1" applyBorder="1" applyAlignment="1">
      <alignment horizontal="center" shrinkToFit="1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38" applyFont="1" applyBorder="1" applyAlignment="1">
      <alignment horizontal="center" shrinkToFit="1"/>
    </xf>
    <xf numFmtId="43" fontId="1" fillId="0" borderId="0" xfId="0" applyNumberFormat="1" applyFont="1" applyBorder="1" applyAlignment="1">
      <alignment/>
    </xf>
    <xf numFmtId="3" fontId="5" fillId="0" borderId="0" xfId="38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3" fontId="58" fillId="0" borderId="41" xfId="38" applyFont="1" applyBorder="1" applyAlignment="1">
      <alignment horizontal="center" shrinkToFit="1"/>
    </xf>
    <xf numFmtId="43" fontId="58" fillId="0" borderId="40" xfId="38" applyFont="1" applyBorder="1" applyAlignment="1">
      <alignment horizontal="center" shrinkToFit="1"/>
    </xf>
    <xf numFmtId="0" fontId="59" fillId="0" borderId="0" xfId="0" applyFont="1" applyAlignment="1">
      <alignment/>
    </xf>
    <xf numFmtId="0" fontId="0" fillId="35" borderId="0" xfId="0" applyFill="1" applyAlignment="1">
      <alignment/>
    </xf>
    <xf numFmtId="43" fontId="1" fillId="35" borderId="0" xfId="0" applyNumberFormat="1" applyFont="1" applyFill="1" applyAlignment="1">
      <alignment/>
    </xf>
    <xf numFmtId="43" fontId="0" fillId="35" borderId="0" xfId="38" applyFont="1" applyFill="1" applyAlignment="1">
      <alignment/>
    </xf>
    <xf numFmtId="43" fontId="60" fillId="0" borderId="0" xfId="38" applyFont="1" applyAlignment="1">
      <alignment/>
    </xf>
    <xf numFmtId="0" fontId="1" fillId="0" borderId="21" xfId="0" applyFont="1" applyBorder="1" applyAlignment="1">
      <alignment/>
    </xf>
    <xf numFmtId="49" fontId="1" fillId="0" borderId="21" xfId="0" applyNumberFormat="1" applyFont="1" applyBorder="1" applyAlignment="1">
      <alignment horizontal="center" shrinkToFit="1"/>
    </xf>
    <xf numFmtId="49" fontId="1" fillId="0" borderId="49" xfId="0" applyNumberFormat="1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43" fontId="1" fillId="35" borderId="0" xfId="38" applyFont="1" applyFill="1" applyAlignment="1">
      <alignment/>
    </xf>
    <xf numFmtId="43" fontId="58" fillId="0" borderId="0" xfId="38" applyFont="1" applyBorder="1" applyAlignment="1">
      <alignment horizontal="center" shrinkToFit="1"/>
    </xf>
    <xf numFmtId="4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3" fontId="58" fillId="0" borderId="41" xfId="38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3" fontId="9" fillId="0" borderId="0" xfId="38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3" fontId="9" fillId="0" borderId="0" xfId="38" applyFont="1" applyAlignment="1">
      <alignment/>
    </xf>
    <xf numFmtId="43" fontId="6" fillId="0" borderId="72" xfId="38" applyFont="1" applyBorder="1" applyAlignment="1">
      <alignment horizontal="center" vertical="center"/>
    </xf>
    <xf numFmtId="9" fontId="6" fillId="0" borderId="29" xfId="48" applyFont="1" applyBorder="1" applyAlignment="1">
      <alignment horizontal="center" vertical="center"/>
    </xf>
    <xf numFmtId="9" fontId="6" fillId="0" borderId="30" xfId="48" applyFont="1" applyBorder="1" applyAlignment="1">
      <alignment horizontal="center" vertical="center"/>
    </xf>
    <xf numFmtId="0" fontId="10" fillId="0" borderId="47" xfId="0" applyFont="1" applyBorder="1" applyAlignment="1">
      <alignment shrinkToFit="1"/>
    </xf>
    <xf numFmtId="0" fontId="10" fillId="0" borderId="26" xfId="0" applyFont="1" applyBorder="1" applyAlignment="1">
      <alignment shrinkToFit="1"/>
    </xf>
    <xf numFmtId="0" fontId="10" fillId="0" borderId="47" xfId="0" applyFont="1" applyFill="1" applyBorder="1" applyAlignment="1">
      <alignment shrinkToFit="1"/>
    </xf>
    <xf numFmtId="0" fontId="10" fillId="0" borderId="49" xfId="0" applyFont="1" applyFill="1" applyBorder="1" applyAlignment="1">
      <alignment shrinkToFit="1"/>
    </xf>
    <xf numFmtId="0" fontId="10" fillId="0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43" fontId="1" fillId="0" borderId="73" xfId="38" applyFont="1" applyBorder="1" applyAlignment="1">
      <alignment horizontal="center" vertical="center"/>
    </xf>
    <xf numFmtId="43" fontId="1" fillId="0" borderId="74" xfId="38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3" fontId="1" fillId="0" borderId="0" xfId="38" applyFont="1" applyAlignment="1">
      <alignment horizontal="center" shrinkToFit="1"/>
    </xf>
    <xf numFmtId="43" fontId="7" fillId="0" borderId="18" xfId="38" applyFont="1" applyBorder="1" applyAlignment="1">
      <alignment horizontal="center" vertical="center"/>
    </xf>
    <xf numFmtId="43" fontId="7" fillId="0" borderId="75" xfId="38" applyFont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43" fontId="7" fillId="0" borderId="28" xfId="38" applyFont="1" applyBorder="1" applyAlignment="1">
      <alignment horizontal="center" vertical="center"/>
    </xf>
    <xf numFmtId="43" fontId="7" fillId="0" borderId="78" xfId="38" applyFont="1" applyBorder="1" applyAlignment="1">
      <alignment horizontal="center" vertical="center"/>
    </xf>
    <xf numFmtId="43" fontId="7" fillId="0" borderId="76" xfId="38" applyFont="1" applyBorder="1" applyAlignment="1">
      <alignment horizontal="center" vertical="center"/>
    </xf>
    <xf numFmtId="43" fontId="7" fillId="0" borderId="53" xfId="38" applyFont="1" applyBorder="1" applyAlignment="1">
      <alignment horizontal="center" vertical="center"/>
    </xf>
    <xf numFmtId="43" fontId="9" fillId="0" borderId="0" xfId="38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43" fontId="6" fillId="0" borderId="28" xfId="38" applyFont="1" applyBorder="1" applyAlignment="1">
      <alignment horizontal="center" vertical="center"/>
    </xf>
    <xf numFmtId="43" fontId="6" fillId="0" borderId="78" xfId="38" applyFont="1" applyBorder="1" applyAlignment="1">
      <alignment horizontal="center" vertical="center"/>
    </xf>
    <xf numFmtId="43" fontId="6" fillId="0" borderId="18" xfId="38" applyFont="1" applyBorder="1" applyAlignment="1">
      <alignment horizontal="center" vertical="center"/>
    </xf>
    <xf numFmtId="43" fontId="6" fillId="0" borderId="75" xfId="38" applyFont="1" applyBorder="1" applyAlignment="1">
      <alignment horizontal="center" vertical="center"/>
    </xf>
    <xf numFmtId="43" fontId="6" fillId="0" borderId="28" xfId="38" applyFont="1" applyBorder="1" applyAlignment="1">
      <alignment horizontal="left" indent="9"/>
    </xf>
    <xf numFmtId="43" fontId="6" fillId="0" borderId="79" xfId="38" applyFont="1" applyBorder="1" applyAlignment="1">
      <alignment horizontal="left" indent="9"/>
    </xf>
    <xf numFmtId="43" fontId="6" fillId="0" borderId="0" xfId="38" applyFont="1" applyBorder="1" applyAlignment="1">
      <alignment horizontal="left" indent="9"/>
    </xf>
    <xf numFmtId="43" fontId="6" fillId="0" borderId="49" xfId="38" applyFont="1" applyBorder="1" applyAlignment="1">
      <alignment horizontal="left" indent="9"/>
    </xf>
    <xf numFmtId="43" fontId="6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 horizontal="left"/>
    </xf>
    <xf numFmtId="43" fontId="6" fillId="0" borderId="0" xfId="0" applyNumberFormat="1" applyFont="1" applyAlignment="1">
      <alignment horizontal="left"/>
    </xf>
    <xf numFmtId="43" fontId="6" fillId="0" borderId="0" xfId="38" applyFont="1" applyAlignment="1">
      <alignment horizontal="center"/>
    </xf>
    <xf numFmtId="43" fontId="6" fillId="0" borderId="18" xfId="38" applyFont="1" applyBorder="1" applyAlignment="1">
      <alignment horizontal="center"/>
    </xf>
    <xf numFmtId="43" fontId="6" fillId="0" borderId="19" xfId="38" applyFont="1" applyBorder="1" applyAlignment="1">
      <alignment horizontal="center" vertical="center" shrinkToFit="1"/>
    </xf>
    <xf numFmtId="43" fontId="6" fillId="0" borderId="16" xfId="38" applyFont="1" applyBorder="1" applyAlignment="1">
      <alignment horizontal="center" vertical="center" shrinkToFit="1"/>
    </xf>
    <xf numFmtId="43" fontId="6" fillId="0" borderId="25" xfId="38" applyFont="1" applyBorder="1" applyAlignment="1">
      <alignment horizontal="center" vertical="center"/>
    </xf>
    <xf numFmtId="43" fontId="6" fillId="0" borderId="80" xfId="38" applyFont="1" applyBorder="1" applyAlignment="1">
      <alignment horizontal="center" vertical="center"/>
    </xf>
    <xf numFmtId="43" fontId="6" fillId="0" borderId="19" xfId="38" applyFont="1" applyBorder="1" applyAlignment="1">
      <alignment horizontal="center" vertical="center"/>
    </xf>
    <xf numFmtId="43" fontId="6" fillId="0" borderId="16" xfId="38" applyFont="1" applyBorder="1" applyAlignment="1">
      <alignment horizontal="center" vertical="center"/>
    </xf>
    <xf numFmtId="43" fontId="13" fillId="0" borderId="0" xfId="0" applyNumberFormat="1" applyFont="1" applyBorder="1" applyAlignment="1">
      <alignment horizontal="center"/>
    </xf>
    <xf numFmtId="43" fontId="17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0" sqref="C100"/>
    </sheetView>
  </sheetViews>
  <sheetFormatPr defaultColWidth="9.140625" defaultRowHeight="12.75"/>
  <cols>
    <col min="1" max="1" width="55.7109375" style="5" customWidth="1"/>
    <col min="2" max="2" width="8.140625" style="5" customWidth="1"/>
    <col min="3" max="29" width="13.7109375" style="9" customWidth="1"/>
    <col min="30" max="53" width="9.140625" style="9" customWidth="1"/>
    <col min="54" max="61" width="9.14062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264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1" s="19" customFormat="1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8"/>
      <c r="BC3" s="18"/>
      <c r="BD3" s="18"/>
      <c r="BE3" s="18"/>
      <c r="BF3" s="18"/>
      <c r="BG3" s="18"/>
      <c r="BH3" s="18"/>
      <c r="BI3" s="18"/>
    </row>
    <row r="4" spans="1:61" s="24" customFormat="1" ht="23.25">
      <c r="A4" s="27" t="s">
        <v>0</v>
      </c>
      <c r="B4" s="30" t="s">
        <v>77</v>
      </c>
      <c r="C4" s="305" t="s">
        <v>265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3"/>
      <c r="BC4" s="23"/>
      <c r="BD4" s="23"/>
      <c r="BE4" s="23"/>
      <c r="BF4" s="23"/>
      <c r="BG4" s="23"/>
      <c r="BH4" s="23"/>
      <c r="BI4" s="23"/>
    </row>
    <row r="5" spans="1:61" s="24" customFormat="1" ht="23.25">
      <c r="A5" s="2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3"/>
      <c r="BC5" s="23"/>
      <c r="BD5" s="23"/>
      <c r="BE5" s="23"/>
      <c r="BF5" s="23"/>
      <c r="BG5" s="23"/>
      <c r="BH5" s="23"/>
      <c r="BI5" s="23"/>
    </row>
    <row r="6" spans="1:14" ht="23.25">
      <c r="A6" s="6" t="s">
        <v>51</v>
      </c>
      <c r="B6" s="7" t="s">
        <v>5</v>
      </c>
      <c r="C6" s="10">
        <v>0</v>
      </c>
      <c r="D6" s="10">
        <v>0</v>
      </c>
      <c r="E6" s="10"/>
      <c r="F6" s="10"/>
      <c r="G6" s="10"/>
      <c r="H6" s="10"/>
      <c r="I6" s="10"/>
      <c r="J6" s="10"/>
      <c r="K6" s="10"/>
      <c r="L6" s="10"/>
      <c r="M6" s="11">
        <f aca="true" t="shared" si="0" ref="M6:M68">SUM(C6+E6+G6+I6+K6)-(D6+F6+H6+J6+L6)</f>
        <v>0</v>
      </c>
      <c r="N6" s="11">
        <v>0</v>
      </c>
    </row>
    <row r="7" spans="1:15" ht="23.25">
      <c r="A7" s="1" t="s">
        <v>116</v>
      </c>
      <c r="B7" s="2" t="s">
        <v>6</v>
      </c>
      <c r="C7" s="12">
        <v>165170.7</v>
      </c>
      <c r="D7" s="12">
        <v>0</v>
      </c>
      <c r="E7" s="12">
        <v>723761.74</v>
      </c>
      <c r="F7" s="12"/>
      <c r="G7" s="12"/>
      <c r="H7" s="12">
        <v>347440</v>
      </c>
      <c r="I7" s="12"/>
      <c r="J7" s="12"/>
      <c r="K7" s="12"/>
      <c r="L7" s="12">
        <v>165170.7</v>
      </c>
      <c r="M7" s="11">
        <f t="shared" si="0"/>
        <v>376321.73999999993</v>
      </c>
      <c r="N7" s="11">
        <v>0</v>
      </c>
      <c r="O7" s="9">
        <f>831519.48-M7</f>
        <v>455197.74000000005</v>
      </c>
    </row>
    <row r="8" spans="1:15" ht="23.25">
      <c r="A8" s="1" t="s">
        <v>130</v>
      </c>
      <c r="B8" s="2" t="s">
        <v>7</v>
      </c>
      <c r="C8" s="11">
        <v>1848558.77</v>
      </c>
      <c r="D8" s="11">
        <v>0</v>
      </c>
      <c r="E8" s="11">
        <v>0</v>
      </c>
      <c r="F8" s="11"/>
      <c r="G8" s="11"/>
      <c r="H8" s="11"/>
      <c r="I8" s="11"/>
      <c r="J8" s="11"/>
      <c r="K8" s="11">
        <v>165170.7</v>
      </c>
      <c r="L8" s="11"/>
      <c r="M8" s="11">
        <f t="shared" si="0"/>
        <v>2013729.47</v>
      </c>
      <c r="N8" s="11">
        <v>0</v>
      </c>
      <c r="O8" s="9">
        <f>2013729.47-M8</f>
        <v>0</v>
      </c>
    </row>
    <row r="9" spans="1:14" ht="23.25">
      <c r="A9" s="1" t="s">
        <v>134</v>
      </c>
      <c r="B9" s="2" t="s">
        <v>7</v>
      </c>
      <c r="C9" s="11">
        <v>0</v>
      </c>
      <c r="D9" s="11">
        <v>0</v>
      </c>
      <c r="E9" s="11">
        <v>0</v>
      </c>
      <c r="F9" s="11"/>
      <c r="G9" s="11"/>
      <c r="H9" s="11">
        <v>575222.33</v>
      </c>
      <c r="I9" s="11"/>
      <c r="J9" s="11"/>
      <c r="K9" s="11">
        <v>575222.33</v>
      </c>
      <c r="L9" s="11"/>
      <c r="M9" s="11">
        <v>0</v>
      </c>
      <c r="N9" s="11">
        <f>SUM(D9+F9+H9+J9+L9)-(C9+E9+G9+I9+K9)</f>
        <v>0</v>
      </c>
    </row>
    <row r="10" spans="1:15" ht="23.25">
      <c r="A10" s="1" t="s">
        <v>117</v>
      </c>
      <c r="B10" s="2" t="s">
        <v>8</v>
      </c>
      <c r="C10" s="11">
        <v>3935483.52</v>
      </c>
      <c r="D10" s="11">
        <v>0</v>
      </c>
      <c r="E10" s="11">
        <v>30184</v>
      </c>
      <c r="F10" s="11"/>
      <c r="G10" s="11"/>
      <c r="H10" s="11"/>
      <c r="I10" s="11"/>
      <c r="J10" s="11"/>
      <c r="K10" s="11"/>
      <c r="L10" s="11">
        <v>575222.33</v>
      </c>
      <c r="M10" s="11">
        <f t="shared" si="0"/>
        <v>3390445.19</v>
      </c>
      <c r="N10" s="11">
        <v>0</v>
      </c>
      <c r="O10" s="9">
        <f>3409846.52-M10</f>
        <v>19401.330000000075</v>
      </c>
    </row>
    <row r="11" spans="1:14" ht="23.25">
      <c r="A11" s="1" t="s">
        <v>128</v>
      </c>
      <c r="B11" s="2" t="s">
        <v>8</v>
      </c>
      <c r="C11" s="11">
        <v>903028.85</v>
      </c>
      <c r="D11" s="11">
        <v>0</v>
      </c>
      <c r="E11" s="11">
        <v>0</v>
      </c>
      <c r="F11" s="11"/>
      <c r="G11" s="11"/>
      <c r="H11" s="11"/>
      <c r="I11" s="11"/>
      <c r="J11" s="11"/>
      <c r="K11" s="11"/>
      <c r="L11" s="11"/>
      <c r="M11" s="11">
        <f t="shared" si="0"/>
        <v>903028.85</v>
      </c>
      <c r="N11" s="11">
        <v>0</v>
      </c>
    </row>
    <row r="12" spans="1:14" ht="23.25">
      <c r="A12" s="1" t="s">
        <v>131</v>
      </c>
      <c r="B12" s="2" t="s">
        <v>8</v>
      </c>
      <c r="C12" s="11">
        <v>1619.03</v>
      </c>
      <c r="D12" s="11">
        <v>0</v>
      </c>
      <c r="E12" s="11">
        <v>0</v>
      </c>
      <c r="F12" s="11"/>
      <c r="G12" s="11"/>
      <c r="H12" s="11"/>
      <c r="I12" s="11"/>
      <c r="J12" s="11"/>
      <c r="K12" s="11"/>
      <c r="L12" s="11"/>
      <c r="M12" s="11">
        <f t="shared" si="0"/>
        <v>1619.03</v>
      </c>
      <c r="N12" s="11">
        <v>0</v>
      </c>
    </row>
    <row r="13" spans="1:14" ht="23.25">
      <c r="A13" s="1" t="s">
        <v>39</v>
      </c>
      <c r="B13" s="2" t="s">
        <v>40</v>
      </c>
      <c r="C13" s="11">
        <v>0</v>
      </c>
      <c r="D13" s="11">
        <v>0</v>
      </c>
      <c r="E13" s="11"/>
      <c r="F13" s="11"/>
      <c r="G13" s="11">
        <v>27320</v>
      </c>
      <c r="H13" s="11"/>
      <c r="I13" s="11"/>
      <c r="J13" s="11"/>
      <c r="K13" s="11"/>
      <c r="L13" s="11">
        <v>27320</v>
      </c>
      <c r="M13" s="11">
        <f t="shared" si="0"/>
        <v>0</v>
      </c>
      <c r="N13" s="11">
        <v>0</v>
      </c>
    </row>
    <row r="14" spans="1:14" ht="23.25">
      <c r="A14" s="1" t="s">
        <v>110</v>
      </c>
      <c r="B14" s="2" t="s">
        <v>111</v>
      </c>
      <c r="C14" s="11">
        <v>0</v>
      </c>
      <c r="D14" s="11"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</row>
    <row r="15" spans="1:14" ht="23.25">
      <c r="A15" s="1" t="s">
        <v>52</v>
      </c>
      <c r="B15" s="2" t="s">
        <v>9</v>
      </c>
      <c r="C15" s="11">
        <v>0</v>
      </c>
      <c r="D15" s="11">
        <v>0</v>
      </c>
      <c r="E15" s="11"/>
      <c r="F15" s="11"/>
      <c r="G15" s="11"/>
      <c r="H15" s="11"/>
      <c r="I15" s="11"/>
      <c r="J15" s="11"/>
      <c r="K15" s="11"/>
      <c r="L15" s="11"/>
      <c r="M15" s="11">
        <f t="shared" si="0"/>
        <v>0</v>
      </c>
      <c r="N15" s="11">
        <v>0</v>
      </c>
    </row>
    <row r="16" spans="1:14" ht="23.25">
      <c r="A16" s="6" t="s">
        <v>10</v>
      </c>
      <c r="B16" s="7" t="s">
        <v>11</v>
      </c>
      <c r="C16" s="11">
        <v>0</v>
      </c>
      <c r="D16" s="11">
        <v>0</v>
      </c>
      <c r="E16" s="11"/>
      <c r="F16" s="11"/>
      <c r="G16" s="11">
        <v>234254</v>
      </c>
      <c r="H16" s="11"/>
      <c r="I16" s="11"/>
      <c r="J16" s="11"/>
      <c r="K16" s="11"/>
      <c r="L16" s="11"/>
      <c r="M16" s="11">
        <f t="shared" si="0"/>
        <v>234254</v>
      </c>
      <c r="N16" s="11">
        <v>0</v>
      </c>
    </row>
    <row r="17" spans="1:14" ht="23.25">
      <c r="A17" s="1" t="s">
        <v>12</v>
      </c>
      <c r="B17" s="2" t="s">
        <v>13</v>
      </c>
      <c r="C17" s="11">
        <v>0</v>
      </c>
      <c r="D17" s="11">
        <v>0</v>
      </c>
      <c r="E17" s="11"/>
      <c r="F17" s="11"/>
      <c r="G17" s="11">
        <v>0</v>
      </c>
      <c r="H17" s="11"/>
      <c r="I17" s="11"/>
      <c r="J17" s="11"/>
      <c r="K17" s="11"/>
      <c r="L17" s="11"/>
      <c r="M17" s="11">
        <f t="shared" si="0"/>
        <v>0</v>
      </c>
      <c r="N17" s="11">
        <f>SUM(D17+F17+H17+J17+L17)-(C17+E17+G17+I17+K17)</f>
        <v>0</v>
      </c>
    </row>
    <row r="18" spans="1:14" ht="23.25">
      <c r="A18" s="1" t="s">
        <v>14</v>
      </c>
      <c r="B18" s="2" t="s">
        <v>15</v>
      </c>
      <c r="C18" s="11">
        <v>0</v>
      </c>
      <c r="D18" s="11">
        <v>0</v>
      </c>
      <c r="E18" s="11"/>
      <c r="F18" s="11"/>
      <c r="G18" s="11">
        <v>134980</v>
      </c>
      <c r="H18" s="11"/>
      <c r="I18" s="11"/>
      <c r="J18" s="11"/>
      <c r="K18" s="11"/>
      <c r="L18" s="11"/>
      <c r="M18" s="11">
        <f t="shared" si="0"/>
        <v>134980</v>
      </c>
      <c r="N18" s="11">
        <v>0</v>
      </c>
    </row>
    <row r="19" spans="1:14" ht="23.25">
      <c r="A19" s="1" t="s">
        <v>16</v>
      </c>
      <c r="B19" s="2" t="s">
        <v>17</v>
      </c>
      <c r="C19" s="11">
        <v>0</v>
      </c>
      <c r="D19" s="11">
        <v>0</v>
      </c>
      <c r="E19" s="11"/>
      <c r="F19" s="11"/>
      <c r="G19" s="11">
        <v>278939</v>
      </c>
      <c r="H19" s="11"/>
      <c r="I19" s="11"/>
      <c r="J19" s="11"/>
      <c r="K19" s="11"/>
      <c r="L19" s="11"/>
      <c r="M19" s="11">
        <f t="shared" si="0"/>
        <v>278939</v>
      </c>
      <c r="N19" s="11">
        <v>0</v>
      </c>
    </row>
    <row r="20" spans="1:14" ht="23.25">
      <c r="A20" s="1" t="s">
        <v>18</v>
      </c>
      <c r="B20" s="2" t="s">
        <v>19</v>
      </c>
      <c r="C20" s="11">
        <v>0</v>
      </c>
      <c r="D20" s="11">
        <v>0</v>
      </c>
      <c r="E20" s="11"/>
      <c r="F20" s="11"/>
      <c r="G20" s="11">
        <v>13250</v>
      </c>
      <c r="H20" s="11"/>
      <c r="I20" s="11"/>
      <c r="J20" s="11"/>
      <c r="K20" s="11">
        <v>27320</v>
      </c>
      <c r="L20" s="11"/>
      <c r="M20" s="11">
        <f t="shared" si="0"/>
        <v>40570</v>
      </c>
      <c r="N20" s="11">
        <v>0</v>
      </c>
    </row>
    <row r="21" spans="1:14" ht="23.25">
      <c r="A21" s="1" t="s">
        <v>20</v>
      </c>
      <c r="B21" s="2" t="s">
        <v>21</v>
      </c>
      <c r="C21" s="11">
        <v>0</v>
      </c>
      <c r="D21" s="11">
        <v>0</v>
      </c>
      <c r="E21" s="11"/>
      <c r="F21" s="11"/>
      <c r="G21" s="11">
        <v>0</v>
      </c>
      <c r="H21" s="11"/>
      <c r="I21" s="11"/>
      <c r="J21" s="11"/>
      <c r="K21" s="11"/>
      <c r="L21" s="11"/>
      <c r="M21" s="11">
        <f t="shared" si="0"/>
        <v>0</v>
      </c>
      <c r="N21" s="11">
        <v>0</v>
      </c>
    </row>
    <row r="22" spans="1:14" ht="23.25">
      <c r="A22" s="1" t="s">
        <v>22</v>
      </c>
      <c r="B22" s="2" t="s">
        <v>23</v>
      </c>
      <c r="C22" s="11">
        <v>0</v>
      </c>
      <c r="D22" s="11">
        <v>0</v>
      </c>
      <c r="E22" s="11"/>
      <c r="F22" s="11"/>
      <c r="G22" s="11">
        <v>3048.32</v>
      </c>
      <c r="H22" s="11"/>
      <c r="I22" s="11"/>
      <c r="J22" s="11"/>
      <c r="K22" s="11"/>
      <c r="L22" s="11"/>
      <c r="M22" s="11">
        <f t="shared" si="0"/>
        <v>3048.32</v>
      </c>
      <c r="N22" s="11">
        <v>0</v>
      </c>
    </row>
    <row r="23" spans="1:14" ht="23.25">
      <c r="A23" s="1" t="s">
        <v>24</v>
      </c>
      <c r="B23" s="2" t="s">
        <v>25</v>
      </c>
      <c r="C23" s="11">
        <v>0</v>
      </c>
      <c r="D23" s="11">
        <v>0</v>
      </c>
      <c r="E23" s="11"/>
      <c r="F23" s="11"/>
      <c r="G23" s="11"/>
      <c r="H23" s="11"/>
      <c r="I23" s="11"/>
      <c r="J23" s="11"/>
      <c r="K23" s="11"/>
      <c r="L23" s="11"/>
      <c r="M23" s="11">
        <f t="shared" si="0"/>
        <v>0</v>
      </c>
      <c r="N23" s="11">
        <v>0</v>
      </c>
    </row>
    <row r="24" spans="1:14" ht="23.25">
      <c r="A24" s="1" t="s">
        <v>26</v>
      </c>
      <c r="B24" s="2" t="s">
        <v>27</v>
      </c>
      <c r="C24" s="11">
        <v>0</v>
      </c>
      <c r="D24" s="11">
        <v>0</v>
      </c>
      <c r="E24" s="11"/>
      <c r="F24" s="11"/>
      <c r="G24" s="11"/>
      <c r="H24" s="11"/>
      <c r="I24" s="11"/>
      <c r="J24" s="11"/>
      <c r="K24" s="11"/>
      <c r="L24" s="11"/>
      <c r="M24" s="11">
        <f t="shared" si="0"/>
        <v>0</v>
      </c>
      <c r="N24" s="11">
        <v>0</v>
      </c>
    </row>
    <row r="25" spans="1:14" ht="23.25">
      <c r="A25" s="1" t="s">
        <v>28</v>
      </c>
      <c r="B25" s="2" t="s">
        <v>29</v>
      </c>
      <c r="C25" s="11">
        <v>0</v>
      </c>
      <c r="D25" s="11"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0</v>
      </c>
      <c r="N25" s="11">
        <v>0</v>
      </c>
    </row>
    <row r="26" spans="1:14" ht="23.25">
      <c r="A26" s="1" t="s">
        <v>113</v>
      </c>
      <c r="B26" s="2" t="s">
        <v>114</v>
      </c>
      <c r="C26" s="11">
        <v>0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0</v>
      </c>
      <c r="N26" s="11">
        <v>0</v>
      </c>
    </row>
    <row r="27" spans="1:14" ht="23.25">
      <c r="A27" s="1" t="s">
        <v>41</v>
      </c>
      <c r="B27" s="2" t="s">
        <v>42</v>
      </c>
      <c r="C27" s="11">
        <v>0</v>
      </c>
      <c r="D27" s="11">
        <v>861000</v>
      </c>
      <c r="E27" s="11"/>
      <c r="F27" s="11"/>
      <c r="G27" s="11">
        <v>231000</v>
      </c>
      <c r="H27" s="11"/>
      <c r="I27" s="11"/>
      <c r="J27" s="11"/>
      <c r="K27" s="11"/>
      <c r="L27" s="11"/>
      <c r="M27" s="11">
        <v>0</v>
      </c>
      <c r="N27" s="11">
        <f aca="true" t="shared" si="1" ref="N27:N88">SUM(D27+F27+H27+J27+L27)-(C27+E27+G27+I27+K27)</f>
        <v>630000</v>
      </c>
    </row>
    <row r="28" spans="1:14" ht="23.25">
      <c r="A28" s="1" t="s">
        <v>44</v>
      </c>
      <c r="B28" s="2" t="s">
        <v>30</v>
      </c>
      <c r="C28" s="11">
        <v>0</v>
      </c>
      <c r="D28" s="11">
        <v>3111261.51</v>
      </c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1">
        <f t="shared" si="1"/>
        <v>3111261.51</v>
      </c>
    </row>
    <row r="29" spans="1:14" ht="23.25">
      <c r="A29" s="1" t="s">
        <v>45</v>
      </c>
      <c r="B29" s="2" t="s">
        <v>43</v>
      </c>
      <c r="C29" s="11">
        <v>0</v>
      </c>
      <c r="D29" s="11"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53</v>
      </c>
      <c r="B30" s="2" t="s">
        <v>31</v>
      </c>
      <c r="C30" s="11">
        <v>0</v>
      </c>
      <c r="D30" s="11">
        <v>0</v>
      </c>
      <c r="E30" s="11"/>
      <c r="F30" s="11"/>
      <c r="G30" s="11"/>
      <c r="H30" s="11"/>
      <c r="I30" s="11"/>
      <c r="J30" s="11"/>
      <c r="K30" s="11"/>
      <c r="L30" s="11"/>
      <c r="M30" s="11">
        <f t="shared" si="0"/>
        <v>0</v>
      </c>
      <c r="N30" s="11">
        <v>0</v>
      </c>
    </row>
    <row r="31" spans="1:14" ht="23.25">
      <c r="A31" s="1" t="s">
        <v>32</v>
      </c>
      <c r="B31" s="2" t="s">
        <v>33</v>
      </c>
      <c r="C31" s="11">
        <v>0</v>
      </c>
      <c r="D31" s="11">
        <v>0</v>
      </c>
      <c r="E31" s="11"/>
      <c r="F31" s="11">
        <v>753945.74</v>
      </c>
      <c r="G31" s="11"/>
      <c r="H31" s="11"/>
      <c r="I31" s="11">
        <v>753945.74</v>
      </c>
      <c r="J31" s="11"/>
      <c r="K31" s="11"/>
      <c r="L31" s="11"/>
      <c r="M31" s="11">
        <f t="shared" si="0"/>
        <v>0</v>
      </c>
      <c r="N31" s="11">
        <v>0</v>
      </c>
    </row>
    <row r="32" spans="1:14" ht="23.25">
      <c r="A32" s="1" t="s">
        <v>35</v>
      </c>
      <c r="B32" s="2" t="s">
        <v>46</v>
      </c>
      <c r="C32" s="11">
        <v>0</v>
      </c>
      <c r="D32" s="11">
        <v>0</v>
      </c>
      <c r="E32" s="11"/>
      <c r="F32" s="11"/>
      <c r="G32" s="11"/>
      <c r="H32" s="11"/>
      <c r="I32" s="11"/>
      <c r="J32" s="11"/>
      <c r="K32" s="11"/>
      <c r="L32" s="11"/>
      <c r="M32" s="11">
        <f t="shared" si="0"/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v>0</v>
      </c>
      <c r="D33" s="11">
        <v>0</v>
      </c>
      <c r="E33" s="11"/>
      <c r="F33" s="11"/>
      <c r="G33" s="11"/>
      <c r="H33" s="11"/>
      <c r="I33" s="11"/>
      <c r="J33" s="11"/>
      <c r="K33" s="11"/>
      <c r="L33" s="11"/>
      <c r="M33" s="11"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v>14011.22</v>
      </c>
      <c r="D34" s="11"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14011.22</v>
      </c>
      <c r="N34" s="11">
        <v>0</v>
      </c>
    </row>
    <row r="35" spans="1:14" ht="23.25">
      <c r="A35" s="1" t="s">
        <v>48</v>
      </c>
      <c r="B35" s="2">
        <v>902</v>
      </c>
      <c r="C35" s="11">
        <v>8102.6</v>
      </c>
      <c r="D35" s="11">
        <v>0</v>
      </c>
      <c r="E35" s="11"/>
      <c r="F35" s="11"/>
      <c r="G35" s="11"/>
      <c r="H35" s="11">
        <v>128.99</v>
      </c>
      <c r="I35" s="11"/>
      <c r="J35" s="11"/>
      <c r="K35" s="11"/>
      <c r="L35" s="11"/>
      <c r="M35" s="11">
        <f t="shared" si="0"/>
        <v>7973.610000000001</v>
      </c>
      <c r="N35" s="11">
        <v>0</v>
      </c>
    </row>
    <row r="36" spans="1:14" ht="23.25">
      <c r="A36" s="6" t="s">
        <v>72</v>
      </c>
      <c r="B36" s="7">
        <v>903</v>
      </c>
      <c r="C36" s="11">
        <v>0</v>
      </c>
      <c r="D36" s="11">
        <v>457231.5</v>
      </c>
      <c r="E36" s="11"/>
      <c r="F36" s="11"/>
      <c r="G36" s="11"/>
      <c r="H36" s="11"/>
      <c r="I36" s="11"/>
      <c r="J36" s="11"/>
      <c r="K36" s="11"/>
      <c r="L36" s="11"/>
      <c r="M36" s="11">
        <v>0</v>
      </c>
      <c r="N36" s="11">
        <f t="shared" si="1"/>
        <v>457231.5</v>
      </c>
    </row>
    <row r="37" spans="1:14" ht="23.25">
      <c r="A37" s="1" t="s">
        <v>73</v>
      </c>
      <c r="B37" s="2">
        <v>904</v>
      </c>
      <c r="C37" s="11">
        <v>0</v>
      </c>
      <c r="D37" s="11"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0</v>
      </c>
      <c r="N37" s="11">
        <f t="shared" si="1"/>
        <v>0</v>
      </c>
    </row>
    <row r="38" spans="1:14" ht="23.25">
      <c r="A38" s="1" t="s">
        <v>74</v>
      </c>
      <c r="B38" s="2" t="s">
        <v>49</v>
      </c>
      <c r="C38" s="11">
        <v>0</v>
      </c>
      <c r="D38" s="11">
        <v>0</v>
      </c>
      <c r="E38" s="11"/>
      <c r="F38" s="11"/>
      <c r="G38" s="11"/>
      <c r="H38" s="11"/>
      <c r="I38" s="11"/>
      <c r="J38" s="11"/>
      <c r="K38" s="11"/>
      <c r="L38" s="11"/>
      <c r="M38" s="11">
        <f t="shared" si="0"/>
        <v>0</v>
      </c>
      <c r="N38" s="11">
        <f t="shared" si="1"/>
        <v>0</v>
      </c>
    </row>
    <row r="39" spans="1:14" ht="23.25">
      <c r="A39" s="1" t="s">
        <v>75</v>
      </c>
      <c r="B39" s="2" t="s">
        <v>50</v>
      </c>
      <c r="C39" s="11">
        <v>0</v>
      </c>
      <c r="D39" s="11">
        <v>0</v>
      </c>
      <c r="E39" s="11"/>
      <c r="F39" s="11"/>
      <c r="G39" s="11"/>
      <c r="H39" s="11"/>
      <c r="I39" s="11"/>
      <c r="J39" s="11"/>
      <c r="K39" s="11"/>
      <c r="L39" s="11"/>
      <c r="M39" s="11">
        <f t="shared" si="0"/>
        <v>0</v>
      </c>
      <c r="N39" s="11">
        <f t="shared" si="1"/>
        <v>0</v>
      </c>
    </row>
    <row r="40" spans="1:14" ht="23.25">
      <c r="A40" s="1" t="s">
        <v>54</v>
      </c>
      <c r="B40" s="2">
        <v>900</v>
      </c>
      <c r="C40" s="11">
        <v>0</v>
      </c>
      <c r="D40" s="11">
        <v>0</v>
      </c>
      <c r="E40" s="11"/>
      <c r="F40" s="11"/>
      <c r="G40" s="11"/>
      <c r="H40" s="11"/>
      <c r="I40" s="11"/>
      <c r="J40" s="11"/>
      <c r="K40" s="11"/>
      <c r="L40" s="11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v>0</v>
      </c>
      <c r="D41" s="11">
        <v>0</v>
      </c>
      <c r="E41" s="11"/>
      <c r="F41" s="11"/>
      <c r="G41" s="11"/>
      <c r="H41" s="11"/>
      <c r="I41" s="11"/>
      <c r="J41" s="11"/>
      <c r="K41" s="11"/>
      <c r="L41" s="11"/>
      <c r="M41" s="11">
        <v>0</v>
      </c>
      <c r="N41" s="11">
        <f t="shared" si="1"/>
        <v>0</v>
      </c>
    </row>
    <row r="42" spans="1:14" ht="23.25">
      <c r="A42" s="1" t="s">
        <v>56</v>
      </c>
      <c r="B42" s="2">
        <v>900</v>
      </c>
      <c r="C42" s="11">
        <v>0</v>
      </c>
      <c r="D42" s="11"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v>0</v>
      </c>
      <c r="D43" s="11"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v>0</v>
      </c>
      <c r="D44" s="11">
        <v>0</v>
      </c>
      <c r="E44" s="11"/>
      <c r="F44" s="11"/>
      <c r="G44" s="11"/>
      <c r="H44" s="11"/>
      <c r="I44" s="11"/>
      <c r="J44" s="11"/>
      <c r="K44" s="11"/>
      <c r="L44" s="11"/>
      <c r="M44" s="11">
        <f t="shared" si="0"/>
        <v>0</v>
      </c>
      <c r="N44" s="11">
        <f t="shared" si="1"/>
        <v>0</v>
      </c>
    </row>
    <row r="45" spans="1:14" ht="23.25">
      <c r="A45" s="6" t="s">
        <v>58</v>
      </c>
      <c r="B45" s="2">
        <v>900</v>
      </c>
      <c r="C45" s="11">
        <v>0</v>
      </c>
      <c r="D45" s="11">
        <v>0</v>
      </c>
      <c r="E45" s="11"/>
      <c r="F45" s="11"/>
      <c r="G45" s="11"/>
      <c r="H45" s="11"/>
      <c r="I45" s="11"/>
      <c r="J45" s="11"/>
      <c r="K45" s="11"/>
      <c r="L45" s="11"/>
      <c r="M45" s="11">
        <f t="shared" si="0"/>
        <v>0</v>
      </c>
      <c r="N45" s="11">
        <f t="shared" si="1"/>
        <v>0</v>
      </c>
    </row>
    <row r="46" spans="1:14" ht="23.25">
      <c r="A46" s="1" t="s">
        <v>158</v>
      </c>
      <c r="B46" s="2">
        <v>900</v>
      </c>
      <c r="C46" s="11">
        <v>0</v>
      </c>
      <c r="D46" s="11">
        <v>0</v>
      </c>
      <c r="E46" s="11"/>
      <c r="F46" s="11"/>
      <c r="G46" s="11"/>
      <c r="H46" s="11"/>
      <c r="I46" s="11"/>
      <c r="J46" s="11"/>
      <c r="K46" s="11"/>
      <c r="L46" s="11"/>
      <c r="M46" s="11">
        <f t="shared" si="0"/>
        <v>0</v>
      </c>
      <c r="N46" s="11">
        <f t="shared" si="1"/>
        <v>0</v>
      </c>
    </row>
    <row r="47" spans="1:14" ht="23.25">
      <c r="A47" s="1" t="s">
        <v>166</v>
      </c>
      <c r="B47" s="2">
        <v>900</v>
      </c>
      <c r="C47" s="11">
        <v>0</v>
      </c>
      <c r="D47" s="11"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v>0</v>
      </c>
      <c r="D48" s="11">
        <v>0</v>
      </c>
      <c r="E48" s="11"/>
      <c r="F48" s="11"/>
      <c r="G48" s="11"/>
      <c r="H48" s="11"/>
      <c r="I48" s="11"/>
      <c r="J48" s="11"/>
      <c r="K48" s="11"/>
      <c r="L48" s="11"/>
      <c r="M48" s="11">
        <f t="shared" si="0"/>
        <v>0</v>
      </c>
      <c r="N48" s="11">
        <f t="shared" si="1"/>
        <v>0</v>
      </c>
    </row>
    <row r="49" spans="1:14" ht="23.25">
      <c r="A49" s="1" t="s">
        <v>61</v>
      </c>
      <c r="B49" s="2" t="s">
        <v>34</v>
      </c>
      <c r="C49" s="11">
        <v>0</v>
      </c>
      <c r="D49" s="11">
        <v>889854</v>
      </c>
      <c r="E49" s="11"/>
      <c r="F49" s="11"/>
      <c r="G49" s="11"/>
      <c r="H49" s="11"/>
      <c r="I49" s="11"/>
      <c r="J49" s="11"/>
      <c r="K49" s="11"/>
      <c r="L49" s="11"/>
      <c r="M49" s="11">
        <v>0</v>
      </c>
      <c r="N49" s="11">
        <f t="shared" si="1"/>
        <v>889854</v>
      </c>
    </row>
    <row r="50" spans="1:14" ht="23.25">
      <c r="A50" s="1" t="s">
        <v>62</v>
      </c>
      <c r="B50" s="2" t="s">
        <v>34</v>
      </c>
      <c r="C50" s="11">
        <v>0</v>
      </c>
      <c r="D50" s="11">
        <v>13174.85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13174.85</v>
      </c>
    </row>
    <row r="51" spans="1:14" ht="23.25">
      <c r="A51" s="1" t="s">
        <v>144</v>
      </c>
      <c r="B51" s="2">
        <v>900</v>
      </c>
      <c r="C51" s="11">
        <v>0</v>
      </c>
      <c r="D51" s="11">
        <v>0</v>
      </c>
      <c r="E51" s="11"/>
      <c r="F51" s="11"/>
      <c r="G51" s="11"/>
      <c r="H51" s="11"/>
      <c r="I51" s="11"/>
      <c r="J51" s="11"/>
      <c r="K51" s="11"/>
      <c r="L51" s="11"/>
      <c r="M51" s="11">
        <f t="shared" si="0"/>
        <v>0</v>
      </c>
      <c r="N51" s="11">
        <f t="shared" si="1"/>
        <v>0</v>
      </c>
    </row>
    <row r="52" spans="1:14" ht="23.25">
      <c r="A52" s="1" t="s">
        <v>64</v>
      </c>
      <c r="B52" s="2">
        <v>900</v>
      </c>
      <c r="C52" s="11">
        <v>0</v>
      </c>
      <c r="D52" s="11">
        <v>0</v>
      </c>
      <c r="E52" s="11"/>
      <c r="F52" s="11"/>
      <c r="G52" s="11"/>
      <c r="H52" s="11"/>
      <c r="I52" s="11"/>
      <c r="J52" s="11"/>
      <c r="K52" s="11"/>
      <c r="L52" s="11"/>
      <c r="M52" s="11">
        <f t="shared" si="0"/>
        <v>0</v>
      </c>
      <c r="N52" s="11">
        <f t="shared" si="1"/>
        <v>0</v>
      </c>
    </row>
    <row r="53" spans="1:14" ht="23.25">
      <c r="A53" s="1" t="s">
        <v>65</v>
      </c>
      <c r="B53" s="2">
        <v>900</v>
      </c>
      <c r="C53" s="11">
        <v>0</v>
      </c>
      <c r="D53" s="11">
        <v>0</v>
      </c>
      <c r="E53" s="11"/>
      <c r="F53" s="11"/>
      <c r="G53" s="11"/>
      <c r="H53" s="11"/>
      <c r="I53" s="11"/>
      <c r="J53" s="11"/>
      <c r="K53" s="11"/>
      <c r="L53" s="11"/>
      <c r="M53" s="11">
        <f t="shared" si="0"/>
        <v>0</v>
      </c>
      <c r="N53" s="11">
        <f t="shared" si="1"/>
        <v>0</v>
      </c>
    </row>
    <row r="54" spans="1:14" ht="23.25">
      <c r="A54" s="1" t="s">
        <v>66</v>
      </c>
      <c r="B54" s="2">
        <v>900</v>
      </c>
      <c r="C54" s="11">
        <v>0</v>
      </c>
      <c r="D54" s="11">
        <v>0</v>
      </c>
      <c r="E54" s="11"/>
      <c r="F54" s="11"/>
      <c r="G54" s="11"/>
      <c r="H54" s="11"/>
      <c r="I54" s="11"/>
      <c r="J54" s="11"/>
      <c r="K54" s="11"/>
      <c r="L54" s="11"/>
      <c r="M54" s="11">
        <f t="shared" si="0"/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v>0</v>
      </c>
      <c r="D55" s="11">
        <v>0</v>
      </c>
      <c r="E55" s="11"/>
      <c r="F55" s="11"/>
      <c r="G55" s="11"/>
      <c r="H55" s="11"/>
      <c r="I55" s="11"/>
      <c r="J55" s="11"/>
      <c r="K55" s="11"/>
      <c r="L55" s="11"/>
      <c r="M55" s="11">
        <f t="shared" si="0"/>
        <v>0</v>
      </c>
      <c r="N55" s="11">
        <f t="shared" si="1"/>
        <v>0</v>
      </c>
    </row>
    <row r="56" spans="1:14" ht="23.25">
      <c r="A56" s="1" t="s">
        <v>142</v>
      </c>
      <c r="B56" s="2" t="s">
        <v>34</v>
      </c>
      <c r="C56" s="11">
        <v>0</v>
      </c>
      <c r="D56" s="11">
        <v>0</v>
      </c>
      <c r="E56" s="11"/>
      <c r="F56" s="11"/>
      <c r="G56" s="11"/>
      <c r="H56" s="11"/>
      <c r="I56" s="11"/>
      <c r="J56" s="11"/>
      <c r="K56" s="11"/>
      <c r="L56" s="11"/>
      <c r="M56" s="11"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v>0</v>
      </c>
      <c r="D57" s="11"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69</v>
      </c>
      <c r="B58" s="2" t="s">
        <v>34</v>
      </c>
      <c r="C58" s="11">
        <v>0</v>
      </c>
      <c r="D58" s="11">
        <v>0</v>
      </c>
      <c r="E58" s="11"/>
      <c r="F58" s="11"/>
      <c r="G58" s="11"/>
      <c r="H58" s="11"/>
      <c r="I58" s="11"/>
      <c r="J58" s="11"/>
      <c r="K58" s="11"/>
      <c r="L58" s="11"/>
      <c r="M58" s="11">
        <f t="shared" si="0"/>
        <v>0</v>
      </c>
      <c r="N58" s="11">
        <f t="shared" si="1"/>
        <v>0</v>
      </c>
    </row>
    <row r="59" spans="1:14" ht="23.25">
      <c r="A59" s="1" t="s">
        <v>70</v>
      </c>
      <c r="B59" s="2" t="s">
        <v>34</v>
      </c>
      <c r="C59" s="11">
        <v>0</v>
      </c>
      <c r="D59" s="11">
        <v>0</v>
      </c>
      <c r="E59" s="11"/>
      <c r="F59" s="11"/>
      <c r="G59" s="11"/>
      <c r="H59" s="11"/>
      <c r="I59" s="11"/>
      <c r="J59" s="11"/>
      <c r="K59" s="11"/>
      <c r="L59" s="11"/>
      <c r="M59" s="11">
        <f t="shared" si="0"/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v>0</v>
      </c>
      <c r="D60" s="11"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v>0</v>
      </c>
      <c r="D61" s="11"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v>0</v>
      </c>
      <c r="D62" s="11">
        <v>0</v>
      </c>
      <c r="E62" s="11"/>
      <c r="F62" s="11"/>
      <c r="G62" s="11"/>
      <c r="H62" s="11"/>
      <c r="I62" s="11"/>
      <c r="J62" s="11"/>
      <c r="K62" s="11"/>
      <c r="L62" s="11"/>
      <c r="M62" s="11">
        <f t="shared" si="0"/>
        <v>0</v>
      </c>
      <c r="N62" s="11">
        <v>0</v>
      </c>
    </row>
    <row r="63" spans="1:18" ht="23.25">
      <c r="A63" s="1" t="s">
        <v>278</v>
      </c>
      <c r="B63" s="2" t="s">
        <v>167</v>
      </c>
      <c r="C63" s="11">
        <v>0</v>
      </c>
      <c r="D63" s="11">
        <v>244582</v>
      </c>
      <c r="E63" s="11"/>
      <c r="F63" s="11"/>
      <c r="G63" s="11"/>
      <c r="H63" s="11"/>
      <c r="I63" s="11"/>
      <c r="J63" s="11"/>
      <c r="K63" s="11"/>
      <c r="L63" s="11"/>
      <c r="M63" s="11">
        <v>0</v>
      </c>
      <c r="N63" s="11">
        <f t="shared" si="1"/>
        <v>244582</v>
      </c>
      <c r="R63" s="9">
        <v>0</v>
      </c>
    </row>
    <row r="64" spans="1:14" ht="23.25">
      <c r="A64" s="1" t="s">
        <v>277</v>
      </c>
      <c r="B64" s="2" t="s">
        <v>163</v>
      </c>
      <c r="C64" s="11">
        <v>0</v>
      </c>
      <c r="D64" s="11">
        <v>0</v>
      </c>
      <c r="E64" s="11"/>
      <c r="F64" s="11"/>
      <c r="G64" s="11"/>
      <c r="H64" s="11"/>
      <c r="I64" s="11"/>
      <c r="J64" s="11"/>
      <c r="K64" s="11"/>
      <c r="L64" s="11"/>
      <c r="M64" s="11">
        <f t="shared" si="0"/>
        <v>0</v>
      </c>
      <c r="N64" s="11">
        <f t="shared" si="1"/>
        <v>0</v>
      </c>
    </row>
    <row r="65" spans="1:14" ht="23.25">
      <c r="A65" s="1" t="s">
        <v>297</v>
      </c>
      <c r="B65" s="2" t="s">
        <v>167</v>
      </c>
      <c r="C65" s="11">
        <v>0</v>
      </c>
      <c r="D65" s="11">
        <v>0</v>
      </c>
      <c r="E65" s="11"/>
      <c r="F65" s="11"/>
      <c r="G65" s="11"/>
      <c r="H65" s="11"/>
      <c r="I65" s="11"/>
      <c r="J65" s="11"/>
      <c r="K65" s="11"/>
      <c r="L65" s="11"/>
      <c r="M65" s="11">
        <f t="shared" si="0"/>
        <v>0</v>
      </c>
      <c r="N65" s="11">
        <f t="shared" si="1"/>
        <v>0</v>
      </c>
    </row>
    <row r="66" spans="1:14" ht="23.25">
      <c r="A66" s="1" t="s">
        <v>120</v>
      </c>
      <c r="B66" s="2" t="s">
        <v>34</v>
      </c>
      <c r="C66" s="11">
        <v>0</v>
      </c>
      <c r="D66" s="11">
        <v>0</v>
      </c>
      <c r="E66" s="11"/>
      <c r="F66" s="11"/>
      <c r="G66" s="11"/>
      <c r="H66" s="11"/>
      <c r="I66" s="11"/>
      <c r="J66" s="11"/>
      <c r="K66" s="11"/>
      <c r="L66" s="11"/>
      <c r="M66" s="11"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v>0</v>
      </c>
      <c r="D67" s="11">
        <v>0</v>
      </c>
      <c r="E67" s="11"/>
      <c r="F67" s="11"/>
      <c r="G67" s="11">
        <v>53400</v>
      </c>
      <c r="H67" s="11">
        <v>53400</v>
      </c>
      <c r="I67" s="11"/>
      <c r="J67" s="11"/>
      <c r="K67" s="11"/>
      <c r="L67" s="11"/>
      <c r="M67" s="11">
        <f t="shared" si="0"/>
        <v>0</v>
      </c>
      <c r="N67" s="11">
        <f t="shared" si="1"/>
        <v>0</v>
      </c>
    </row>
    <row r="68" spans="1:14" ht="23.25">
      <c r="A68" s="1" t="s">
        <v>121</v>
      </c>
      <c r="B68" s="40" t="s">
        <v>34</v>
      </c>
      <c r="C68" s="11">
        <v>0</v>
      </c>
      <c r="D68" s="11">
        <v>0</v>
      </c>
      <c r="E68" s="11"/>
      <c r="F68" s="11"/>
      <c r="G68" s="11"/>
      <c r="H68" s="11"/>
      <c r="I68" s="11"/>
      <c r="J68" s="11"/>
      <c r="K68" s="11"/>
      <c r="L68" s="11"/>
      <c r="M68" s="11">
        <f t="shared" si="0"/>
        <v>0</v>
      </c>
      <c r="N68" s="11">
        <v>0</v>
      </c>
    </row>
    <row r="69" spans="1:14" ht="23.25">
      <c r="A69" s="51" t="s">
        <v>94</v>
      </c>
      <c r="B69" s="40" t="s">
        <v>79</v>
      </c>
      <c r="C69" s="11">
        <v>0</v>
      </c>
      <c r="D69" s="11">
        <v>0</v>
      </c>
      <c r="E69" s="11"/>
      <c r="F69" s="11"/>
      <c r="G69" s="11"/>
      <c r="H69" s="11"/>
      <c r="I69" s="11"/>
      <c r="J69" s="11"/>
      <c r="K69" s="11"/>
      <c r="L69" s="11"/>
      <c r="M69" s="11">
        <f aca="true" t="shared" si="2" ref="M69:M88">SUM(C69+E69+G69+I69+K69)-(D69+F69+H69+J69+L69)</f>
        <v>0</v>
      </c>
      <c r="N69" s="11">
        <f t="shared" si="1"/>
        <v>0</v>
      </c>
    </row>
    <row r="70" spans="1:14" ht="23.25">
      <c r="A70" s="51" t="s">
        <v>95</v>
      </c>
      <c r="B70" s="40" t="s">
        <v>80</v>
      </c>
      <c r="C70" s="11">
        <v>0</v>
      </c>
      <c r="D70" s="11">
        <v>0</v>
      </c>
      <c r="E70" s="11"/>
      <c r="F70" s="11"/>
      <c r="G70" s="11"/>
      <c r="H70" s="11"/>
      <c r="I70" s="11"/>
      <c r="J70" s="11"/>
      <c r="K70" s="11"/>
      <c r="L70" s="11"/>
      <c r="M70" s="11">
        <f t="shared" si="2"/>
        <v>0</v>
      </c>
      <c r="N70" s="11">
        <f t="shared" si="1"/>
        <v>0</v>
      </c>
    </row>
    <row r="71" spans="1:14" ht="23.25">
      <c r="A71" s="51" t="s">
        <v>96</v>
      </c>
      <c r="B71" s="40" t="s">
        <v>81</v>
      </c>
      <c r="C71" s="11">
        <v>0</v>
      </c>
      <c r="D71" s="11">
        <v>0</v>
      </c>
      <c r="E71" s="11"/>
      <c r="F71" s="11"/>
      <c r="G71" s="11"/>
      <c r="H71" s="11"/>
      <c r="I71" s="11"/>
      <c r="J71" s="11"/>
      <c r="K71" s="11"/>
      <c r="L71" s="11"/>
      <c r="M71" s="11">
        <f t="shared" si="2"/>
        <v>0</v>
      </c>
      <c r="N71" s="11">
        <f t="shared" si="1"/>
        <v>0</v>
      </c>
    </row>
    <row r="72" spans="1:14" ht="23.25">
      <c r="A72" s="51" t="s">
        <v>164</v>
      </c>
      <c r="B72" s="40" t="s">
        <v>162</v>
      </c>
      <c r="C72" s="11">
        <v>0</v>
      </c>
      <c r="D72" s="11">
        <v>0</v>
      </c>
      <c r="E72" s="11"/>
      <c r="F72" s="11"/>
      <c r="G72" s="11"/>
      <c r="H72" s="11"/>
      <c r="I72" s="11"/>
      <c r="J72" s="11">
        <v>4140</v>
      </c>
      <c r="K72" s="11"/>
      <c r="L72" s="11"/>
      <c r="M72" s="11">
        <v>0</v>
      </c>
      <c r="N72" s="11">
        <f t="shared" si="1"/>
        <v>4140</v>
      </c>
    </row>
    <row r="73" spans="1:14" ht="23.25">
      <c r="A73" s="51" t="s">
        <v>153</v>
      </c>
      <c r="B73" s="40" t="s">
        <v>83</v>
      </c>
      <c r="C73" s="11">
        <v>0</v>
      </c>
      <c r="D73" s="11">
        <v>0</v>
      </c>
      <c r="E73" s="11"/>
      <c r="F73" s="11"/>
      <c r="G73" s="11"/>
      <c r="H73" s="11"/>
      <c r="I73" s="11"/>
      <c r="J73" s="11">
        <v>723761.74</v>
      </c>
      <c r="K73" s="11"/>
      <c r="L73" s="11"/>
      <c r="M73" s="11">
        <v>0</v>
      </c>
      <c r="N73" s="11">
        <f t="shared" si="1"/>
        <v>723761.74</v>
      </c>
    </row>
    <row r="74" spans="1:14" ht="23.25">
      <c r="A74" s="51" t="s">
        <v>125</v>
      </c>
      <c r="B74" s="40" t="s">
        <v>160</v>
      </c>
      <c r="C74" s="11">
        <v>0</v>
      </c>
      <c r="D74" s="11">
        <v>0</v>
      </c>
      <c r="E74" s="11"/>
      <c r="F74" s="11"/>
      <c r="G74" s="11"/>
      <c r="H74" s="11"/>
      <c r="I74" s="11"/>
      <c r="J74" s="11"/>
      <c r="K74" s="11"/>
      <c r="L74" s="11"/>
      <c r="M74" s="11">
        <f t="shared" si="2"/>
        <v>0</v>
      </c>
      <c r="N74" s="11">
        <f t="shared" si="1"/>
        <v>0</v>
      </c>
    </row>
    <row r="75" spans="1:14" ht="23.25">
      <c r="A75" s="51" t="s">
        <v>123</v>
      </c>
      <c r="B75" s="40" t="s">
        <v>161</v>
      </c>
      <c r="C75" s="11">
        <v>0</v>
      </c>
      <c r="D75" s="11">
        <v>0</v>
      </c>
      <c r="E75" s="11"/>
      <c r="F75" s="11"/>
      <c r="G75" s="11"/>
      <c r="H75" s="11"/>
      <c r="I75" s="11"/>
      <c r="J75" s="11">
        <v>6744</v>
      </c>
      <c r="K75" s="11"/>
      <c r="L75" s="11"/>
      <c r="M75" s="11">
        <v>0</v>
      </c>
      <c r="N75" s="11">
        <f t="shared" si="1"/>
        <v>6744</v>
      </c>
    </row>
    <row r="76" spans="1:14" ht="23.25">
      <c r="A76" s="51" t="s">
        <v>98</v>
      </c>
      <c r="B76" s="40" t="s">
        <v>85</v>
      </c>
      <c r="C76" s="11">
        <v>0</v>
      </c>
      <c r="D76" s="11">
        <v>0</v>
      </c>
      <c r="E76" s="11"/>
      <c r="F76" s="11"/>
      <c r="G76" s="11"/>
      <c r="H76" s="11"/>
      <c r="I76" s="11"/>
      <c r="J76" s="11"/>
      <c r="K76" s="11"/>
      <c r="L76" s="11"/>
      <c r="M76" s="11">
        <f t="shared" si="2"/>
        <v>0</v>
      </c>
      <c r="N76" s="11">
        <f t="shared" si="1"/>
        <v>0</v>
      </c>
    </row>
    <row r="77" spans="1:14" ht="23.25">
      <c r="A77" s="51" t="s">
        <v>99</v>
      </c>
      <c r="B77" s="40" t="s">
        <v>86</v>
      </c>
      <c r="C77" s="11">
        <v>0</v>
      </c>
      <c r="D77" s="11">
        <v>0</v>
      </c>
      <c r="E77" s="11"/>
      <c r="F77" s="11"/>
      <c r="G77" s="11"/>
      <c r="H77" s="11"/>
      <c r="I77" s="11"/>
      <c r="J77" s="11"/>
      <c r="K77" s="11"/>
      <c r="L77" s="11"/>
      <c r="M77" s="11">
        <f t="shared" si="2"/>
        <v>0</v>
      </c>
      <c r="N77" s="11">
        <f t="shared" si="1"/>
        <v>0</v>
      </c>
    </row>
    <row r="78" spans="1:14" ht="23.25">
      <c r="A78" s="51" t="s">
        <v>100</v>
      </c>
      <c r="B78" s="40" t="s">
        <v>87</v>
      </c>
      <c r="C78" s="11">
        <v>0</v>
      </c>
      <c r="D78" s="11">
        <v>0</v>
      </c>
      <c r="E78" s="11"/>
      <c r="F78" s="11"/>
      <c r="G78" s="11"/>
      <c r="H78" s="11"/>
      <c r="I78" s="11"/>
      <c r="J78" s="11"/>
      <c r="K78" s="11"/>
      <c r="L78" s="11"/>
      <c r="M78" s="11">
        <f t="shared" si="2"/>
        <v>0</v>
      </c>
      <c r="N78" s="11">
        <f t="shared" si="1"/>
        <v>0</v>
      </c>
    </row>
    <row r="79" spans="1:14" ht="23.25">
      <c r="A79" s="51" t="s">
        <v>293</v>
      </c>
      <c r="B79" s="40" t="s">
        <v>87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>
        <f>SUM(C79+E79+G79+I79+K79)-(D79+F79+H79+J79+L79)</f>
        <v>0</v>
      </c>
      <c r="N79" s="11">
        <f>SUM(D79+F79+H79+J79+L79)-(C79+E79+G79+I79+K79)</f>
        <v>0</v>
      </c>
    </row>
    <row r="80" spans="1:14" ht="23.25">
      <c r="A80" s="51" t="s">
        <v>280</v>
      </c>
      <c r="B80" s="40" t="s">
        <v>88</v>
      </c>
      <c r="C80" s="11">
        <v>0</v>
      </c>
      <c r="D80" s="11">
        <v>0</v>
      </c>
      <c r="E80" s="11"/>
      <c r="F80" s="11"/>
      <c r="G80" s="11"/>
      <c r="H80" s="11"/>
      <c r="I80" s="11"/>
      <c r="J80" s="11"/>
      <c r="K80" s="11"/>
      <c r="L80" s="11"/>
      <c r="M80" s="11">
        <f t="shared" si="2"/>
        <v>0</v>
      </c>
      <c r="N80" s="11">
        <f t="shared" si="1"/>
        <v>0</v>
      </c>
    </row>
    <row r="81" spans="1:14" ht="23.25">
      <c r="A81" s="51" t="s">
        <v>124</v>
      </c>
      <c r="B81" s="40" t="s">
        <v>89</v>
      </c>
      <c r="C81" s="11">
        <v>0</v>
      </c>
      <c r="D81" s="11">
        <v>0</v>
      </c>
      <c r="E81" s="11"/>
      <c r="F81" s="11"/>
      <c r="G81" s="11"/>
      <c r="H81" s="11"/>
      <c r="I81" s="11"/>
      <c r="J81" s="11"/>
      <c r="K81" s="11"/>
      <c r="L81" s="11"/>
      <c r="M81" s="11">
        <f t="shared" si="2"/>
        <v>0</v>
      </c>
      <c r="N81" s="11">
        <f t="shared" si="1"/>
        <v>0</v>
      </c>
    </row>
    <row r="82" spans="1:14" ht="23.25">
      <c r="A82" s="51" t="s">
        <v>132</v>
      </c>
      <c r="B82" s="40" t="s">
        <v>133</v>
      </c>
      <c r="C82" s="11">
        <v>0</v>
      </c>
      <c r="D82" s="11">
        <v>0</v>
      </c>
      <c r="E82" s="11"/>
      <c r="F82" s="11"/>
      <c r="G82" s="11"/>
      <c r="H82" s="11"/>
      <c r="I82" s="11"/>
      <c r="J82" s="11"/>
      <c r="K82" s="11"/>
      <c r="L82" s="11"/>
      <c r="M82" s="11">
        <v>0</v>
      </c>
      <c r="N82" s="11">
        <f t="shared" si="1"/>
        <v>0</v>
      </c>
    </row>
    <row r="83" spans="1:14" ht="23.25">
      <c r="A83" s="51" t="s">
        <v>294</v>
      </c>
      <c r="B83" s="40" t="s">
        <v>90</v>
      </c>
      <c r="C83" s="11">
        <v>0</v>
      </c>
      <c r="D83" s="11">
        <v>0</v>
      </c>
      <c r="E83" s="11"/>
      <c r="F83" s="11"/>
      <c r="G83" s="11"/>
      <c r="H83" s="11"/>
      <c r="I83" s="11"/>
      <c r="J83" s="11"/>
      <c r="K83" s="11"/>
      <c r="L83" s="11"/>
      <c r="M83" s="11">
        <f t="shared" si="2"/>
        <v>0</v>
      </c>
      <c r="N83" s="11">
        <f t="shared" si="1"/>
        <v>0</v>
      </c>
    </row>
    <row r="84" spans="1:14" ht="23.25">
      <c r="A84" s="51" t="s">
        <v>295</v>
      </c>
      <c r="B84" s="40" t="s">
        <v>91</v>
      </c>
      <c r="C84" s="11">
        <v>0</v>
      </c>
      <c r="D84" s="11">
        <v>0</v>
      </c>
      <c r="E84" s="11"/>
      <c r="F84" s="11"/>
      <c r="G84" s="11"/>
      <c r="H84" s="11"/>
      <c r="I84" s="11"/>
      <c r="J84" s="11"/>
      <c r="K84" s="11"/>
      <c r="L84" s="11"/>
      <c r="M84" s="11">
        <f t="shared" si="2"/>
        <v>0</v>
      </c>
      <c r="N84" s="11">
        <f t="shared" si="1"/>
        <v>0</v>
      </c>
    </row>
    <row r="85" spans="1:14" ht="23.25">
      <c r="A85" s="51" t="s">
        <v>104</v>
      </c>
      <c r="B85" s="40" t="s">
        <v>92</v>
      </c>
      <c r="C85" s="11">
        <v>0</v>
      </c>
      <c r="D85" s="11">
        <v>0</v>
      </c>
      <c r="E85" s="11"/>
      <c r="F85" s="11"/>
      <c r="G85" s="11"/>
      <c r="H85" s="11"/>
      <c r="I85" s="11"/>
      <c r="J85" s="11">
        <v>300</v>
      </c>
      <c r="K85" s="11"/>
      <c r="L85" s="11"/>
      <c r="M85" s="11">
        <v>0</v>
      </c>
      <c r="N85" s="11">
        <f t="shared" si="1"/>
        <v>300</v>
      </c>
    </row>
    <row r="86" spans="1:256" ht="23.25">
      <c r="A86" s="51" t="s">
        <v>105</v>
      </c>
      <c r="B86" s="40" t="s">
        <v>93</v>
      </c>
      <c r="C86" s="11">
        <v>0</v>
      </c>
      <c r="D86" s="11">
        <v>0</v>
      </c>
      <c r="E86" s="11"/>
      <c r="F86" s="11"/>
      <c r="G86" s="11"/>
      <c r="H86" s="11"/>
      <c r="I86" s="11"/>
      <c r="J86" s="11"/>
      <c r="K86" s="11"/>
      <c r="L86" s="11"/>
      <c r="M86" s="11">
        <f t="shared" si="2"/>
        <v>0</v>
      </c>
      <c r="N86" s="11">
        <f t="shared" si="1"/>
        <v>0</v>
      </c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3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 t="s">
        <v>106</v>
      </c>
      <c r="CR86" s="1" t="s">
        <v>106</v>
      </c>
      <c r="CS86" s="1" t="s">
        <v>106</v>
      </c>
      <c r="CT86" s="1" t="s">
        <v>106</v>
      </c>
      <c r="CU86" s="1" t="s">
        <v>106</v>
      </c>
      <c r="CV86" s="1" t="s">
        <v>106</v>
      </c>
      <c r="CW86" s="1" t="s">
        <v>106</v>
      </c>
      <c r="CX86" s="1" t="s">
        <v>106</v>
      </c>
      <c r="CY86" s="1" t="s">
        <v>106</v>
      </c>
      <c r="CZ86" s="1" t="s">
        <v>106</v>
      </c>
      <c r="DA86" s="1" t="s">
        <v>106</v>
      </c>
      <c r="DB86" s="1" t="s">
        <v>106</v>
      </c>
      <c r="DC86" s="1" t="s">
        <v>106</v>
      </c>
      <c r="DD86" s="1" t="s">
        <v>106</v>
      </c>
      <c r="DE86" s="1" t="s">
        <v>106</v>
      </c>
      <c r="DF86" s="1" t="s">
        <v>106</v>
      </c>
      <c r="DG86" s="1" t="s">
        <v>106</v>
      </c>
      <c r="DH86" s="1" t="s">
        <v>106</v>
      </c>
      <c r="DI86" s="1" t="s">
        <v>106</v>
      </c>
      <c r="DJ86" s="1" t="s">
        <v>106</v>
      </c>
      <c r="DK86" s="1" t="s">
        <v>106</v>
      </c>
      <c r="DL86" s="1" t="s">
        <v>106</v>
      </c>
      <c r="DM86" s="1" t="s">
        <v>106</v>
      </c>
      <c r="DN86" s="1" t="s">
        <v>106</v>
      </c>
      <c r="DO86" s="1" t="s">
        <v>106</v>
      </c>
      <c r="DP86" s="1" t="s">
        <v>106</v>
      </c>
      <c r="DQ86" s="1" t="s">
        <v>106</v>
      </c>
      <c r="DR86" s="1" t="s">
        <v>106</v>
      </c>
      <c r="DS86" s="1" t="s">
        <v>106</v>
      </c>
      <c r="DT86" s="1" t="s">
        <v>106</v>
      </c>
      <c r="DU86" s="1" t="s">
        <v>106</v>
      </c>
      <c r="DV86" s="1" t="s">
        <v>106</v>
      </c>
      <c r="DW86" s="1" t="s">
        <v>106</v>
      </c>
      <c r="DX86" s="1" t="s">
        <v>106</v>
      </c>
      <c r="DY86" s="1" t="s">
        <v>106</v>
      </c>
      <c r="DZ86" s="1" t="s">
        <v>106</v>
      </c>
      <c r="EA86" s="1" t="s">
        <v>106</v>
      </c>
      <c r="EB86" s="1" t="s">
        <v>106</v>
      </c>
      <c r="EC86" s="1" t="s">
        <v>106</v>
      </c>
      <c r="ED86" s="1" t="s">
        <v>106</v>
      </c>
      <c r="EE86" s="1" t="s">
        <v>106</v>
      </c>
      <c r="EF86" s="1" t="s">
        <v>106</v>
      </c>
      <c r="EG86" s="1" t="s">
        <v>106</v>
      </c>
      <c r="EH86" s="1" t="s">
        <v>106</v>
      </c>
      <c r="EI86" s="1" t="s">
        <v>106</v>
      </c>
      <c r="EJ86" s="1" t="s">
        <v>106</v>
      </c>
      <c r="EK86" s="1" t="s">
        <v>106</v>
      </c>
      <c r="EL86" s="1" t="s">
        <v>106</v>
      </c>
      <c r="EM86" s="1" t="s">
        <v>106</v>
      </c>
      <c r="EN86" s="1" t="s">
        <v>106</v>
      </c>
      <c r="EO86" s="1" t="s">
        <v>106</v>
      </c>
      <c r="EP86" s="1" t="s">
        <v>106</v>
      </c>
      <c r="EQ86" s="1" t="s">
        <v>106</v>
      </c>
      <c r="ER86" s="1" t="s">
        <v>106</v>
      </c>
      <c r="ES86" s="1" t="s">
        <v>106</v>
      </c>
      <c r="ET86" s="1" t="s">
        <v>106</v>
      </c>
      <c r="EU86" s="1" t="s">
        <v>106</v>
      </c>
      <c r="EV86" s="1" t="s">
        <v>106</v>
      </c>
      <c r="EW86" s="1" t="s">
        <v>106</v>
      </c>
      <c r="EX86" s="1" t="s">
        <v>106</v>
      </c>
      <c r="EY86" s="1" t="s">
        <v>106</v>
      </c>
      <c r="EZ86" s="1" t="s">
        <v>106</v>
      </c>
      <c r="FA86" s="1" t="s">
        <v>106</v>
      </c>
      <c r="FB86" s="1" t="s">
        <v>106</v>
      </c>
      <c r="FC86" s="1" t="s">
        <v>106</v>
      </c>
      <c r="FD86" s="1" t="s">
        <v>106</v>
      </c>
      <c r="FE86" s="1" t="s">
        <v>106</v>
      </c>
      <c r="FF86" s="1" t="s">
        <v>106</v>
      </c>
      <c r="FG86" s="1" t="s">
        <v>106</v>
      </c>
      <c r="FH86" s="1" t="s">
        <v>106</v>
      </c>
      <c r="FI86" s="1" t="s">
        <v>106</v>
      </c>
      <c r="FJ86" s="1" t="s">
        <v>106</v>
      </c>
      <c r="FK86" s="1" t="s">
        <v>106</v>
      </c>
      <c r="FL86" s="1" t="s">
        <v>106</v>
      </c>
      <c r="FM86" s="1" t="s">
        <v>106</v>
      </c>
      <c r="FN86" s="1" t="s">
        <v>106</v>
      </c>
      <c r="FO86" s="1" t="s">
        <v>106</v>
      </c>
      <c r="FP86" s="1" t="s">
        <v>106</v>
      </c>
      <c r="FQ86" s="1" t="s">
        <v>106</v>
      </c>
      <c r="FR86" s="1" t="s">
        <v>106</v>
      </c>
      <c r="FS86" s="1" t="s">
        <v>106</v>
      </c>
      <c r="FT86" s="1" t="s">
        <v>106</v>
      </c>
      <c r="FU86" s="1" t="s">
        <v>106</v>
      </c>
      <c r="FV86" s="1" t="s">
        <v>106</v>
      </c>
      <c r="FW86" s="1" t="s">
        <v>106</v>
      </c>
      <c r="FX86" s="1" t="s">
        <v>106</v>
      </c>
      <c r="FY86" s="1" t="s">
        <v>106</v>
      </c>
      <c r="FZ86" s="1" t="s">
        <v>106</v>
      </c>
      <c r="GA86" s="1" t="s">
        <v>106</v>
      </c>
      <c r="GB86" s="1" t="s">
        <v>106</v>
      </c>
      <c r="GC86" s="1" t="s">
        <v>106</v>
      </c>
      <c r="GD86" s="1" t="s">
        <v>106</v>
      </c>
      <c r="GE86" s="1" t="s">
        <v>106</v>
      </c>
      <c r="GF86" s="1" t="s">
        <v>106</v>
      </c>
      <c r="GG86" s="1" t="s">
        <v>106</v>
      </c>
      <c r="GH86" s="1" t="s">
        <v>106</v>
      </c>
      <c r="GI86" s="1" t="s">
        <v>106</v>
      </c>
      <c r="GJ86" s="1" t="s">
        <v>106</v>
      </c>
      <c r="GK86" s="1" t="s">
        <v>106</v>
      </c>
      <c r="GL86" s="1" t="s">
        <v>106</v>
      </c>
      <c r="GM86" s="1" t="s">
        <v>106</v>
      </c>
      <c r="GN86" s="1" t="s">
        <v>106</v>
      </c>
      <c r="GO86" s="1" t="s">
        <v>106</v>
      </c>
      <c r="GP86" s="1" t="s">
        <v>106</v>
      </c>
      <c r="GQ86" s="1" t="s">
        <v>106</v>
      </c>
      <c r="GR86" s="1" t="s">
        <v>106</v>
      </c>
      <c r="GS86" s="1" t="s">
        <v>106</v>
      </c>
      <c r="GT86" s="1" t="s">
        <v>106</v>
      </c>
      <c r="GU86" s="1" t="s">
        <v>106</v>
      </c>
      <c r="GV86" s="1" t="s">
        <v>106</v>
      </c>
      <c r="GW86" s="1" t="s">
        <v>106</v>
      </c>
      <c r="GX86" s="1" t="s">
        <v>106</v>
      </c>
      <c r="GY86" s="1" t="s">
        <v>106</v>
      </c>
      <c r="GZ86" s="1" t="s">
        <v>106</v>
      </c>
      <c r="HA86" s="1" t="s">
        <v>106</v>
      </c>
      <c r="HB86" s="1" t="s">
        <v>106</v>
      </c>
      <c r="HC86" s="1" t="s">
        <v>106</v>
      </c>
      <c r="HD86" s="1" t="s">
        <v>106</v>
      </c>
      <c r="HE86" s="1" t="s">
        <v>106</v>
      </c>
      <c r="HF86" s="1" t="s">
        <v>106</v>
      </c>
      <c r="HG86" s="1" t="s">
        <v>106</v>
      </c>
      <c r="HH86" s="1" t="s">
        <v>106</v>
      </c>
      <c r="HI86" s="1" t="s">
        <v>106</v>
      </c>
      <c r="HJ86" s="1" t="s">
        <v>106</v>
      </c>
      <c r="HK86" s="1" t="s">
        <v>106</v>
      </c>
      <c r="HL86" s="1" t="s">
        <v>106</v>
      </c>
      <c r="HM86" s="1" t="s">
        <v>106</v>
      </c>
      <c r="HN86" s="1" t="s">
        <v>106</v>
      </c>
      <c r="HO86" s="1" t="s">
        <v>106</v>
      </c>
      <c r="HP86" s="1" t="s">
        <v>106</v>
      </c>
      <c r="HQ86" s="1" t="s">
        <v>106</v>
      </c>
      <c r="HR86" s="1" t="s">
        <v>106</v>
      </c>
      <c r="HS86" s="1" t="s">
        <v>106</v>
      </c>
      <c r="HT86" s="1" t="s">
        <v>106</v>
      </c>
      <c r="HU86" s="1" t="s">
        <v>106</v>
      </c>
      <c r="HV86" s="1" t="s">
        <v>106</v>
      </c>
      <c r="HW86" s="1" t="s">
        <v>106</v>
      </c>
      <c r="HX86" s="1" t="s">
        <v>106</v>
      </c>
      <c r="HY86" s="1" t="s">
        <v>106</v>
      </c>
      <c r="HZ86" s="1" t="s">
        <v>106</v>
      </c>
      <c r="IA86" s="1" t="s">
        <v>106</v>
      </c>
      <c r="IB86" s="1" t="s">
        <v>106</v>
      </c>
      <c r="IC86" s="1" t="s">
        <v>106</v>
      </c>
      <c r="ID86" s="1" t="s">
        <v>106</v>
      </c>
      <c r="IE86" s="1" t="s">
        <v>106</v>
      </c>
      <c r="IF86" s="1" t="s">
        <v>106</v>
      </c>
      <c r="IG86" s="1" t="s">
        <v>106</v>
      </c>
      <c r="IH86" s="1" t="s">
        <v>106</v>
      </c>
      <c r="II86" s="1" t="s">
        <v>106</v>
      </c>
      <c r="IJ86" s="1" t="s">
        <v>106</v>
      </c>
      <c r="IK86" s="1" t="s">
        <v>106</v>
      </c>
      <c r="IL86" s="1" t="s">
        <v>106</v>
      </c>
      <c r="IM86" s="1" t="s">
        <v>106</v>
      </c>
      <c r="IN86" s="1" t="s">
        <v>106</v>
      </c>
      <c r="IO86" s="1" t="s">
        <v>106</v>
      </c>
      <c r="IP86" s="1" t="s">
        <v>106</v>
      </c>
      <c r="IQ86" s="1" t="s">
        <v>106</v>
      </c>
      <c r="IR86" s="1" t="s">
        <v>106</v>
      </c>
      <c r="IS86" s="1" t="s">
        <v>106</v>
      </c>
      <c r="IT86" s="1" t="s">
        <v>106</v>
      </c>
      <c r="IU86" s="1" t="s">
        <v>106</v>
      </c>
      <c r="IV86" s="1" t="s">
        <v>106</v>
      </c>
    </row>
    <row r="87" spans="1:256" ht="23.25">
      <c r="A87" s="1" t="s">
        <v>106</v>
      </c>
      <c r="B87" s="40" t="s">
        <v>133</v>
      </c>
      <c r="C87" s="11">
        <v>0</v>
      </c>
      <c r="D87" s="11">
        <v>0</v>
      </c>
      <c r="E87" s="11"/>
      <c r="F87" s="11"/>
      <c r="G87" s="11"/>
      <c r="H87" s="11"/>
      <c r="I87" s="11"/>
      <c r="J87" s="11">
        <v>19000</v>
      </c>
      <c r="K87" s="11"/>
      <c r="L87" s="11"/>
      <c r="M87" s="11">
        <v>0</v>
      </c>
      <c r="N87" s="11">
        <f t="shared" si="1"/>
        <v>19000</v>
      </c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3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 t="s">
        <v>126</v>
      </c>
      <c r="CR87" s="1" t="s">
        <v>126</v>
      </c>
      <c r="CS87" s="1" t="s">
        <v>126</v>
      </c>
      <c r="CT87" s="1" t="s">
        <v>126</v>
      </c>
      <c r="CU87" s="1" t="s">
        <v>126</v>
      </c>
      <c r="CV87" s="1" t="s">
        <v>126</v>
      </c>
      <c r="CW87" s="1" t="s">
        <v>126</v>
      </c>
      <c r="CX87" s="1" t="s">
        <v>126</v>
      </c>
      <c r="CY87" s="1" t="s">
        <v>126</v>
      </c>
      <c r="CZ87" s="1" t="s">
        <v>126</v>
      </c>
      <c r="DA87" s="1" t="s">
        <v>126</v>
      </c>
      <c r="DB87" s="1" t="s">
        <v>126</v>
      </c>
      <c r="DC87" s="1" t="s">
        <v>126</v>
      </c>
      <c r="DD87" s="1" t="s">
        <v>126</v>
      </c>
      <c r="DE87" s="1" t="s">
        <v>126</v>
      </c>
      <c r="DF87" s="1" t="s">
        <v>126</v>
      </c>
      <c r="DG87" s="1" t="s">
        <v>126</v>
      </c>
      <c r="DH87" s="1" t="s">
        <v>126</v>
      </c>
      <c r="DI87" s="1" t="s">
        <v>126</v>
      </c>
      <c r="DJ87" s="1" t="s">
        <v>126</v>
      </c>
      <c r="DK87" s="1" t="s">
        <v>126</v>
      </c>
      <c r="DL87" s="1" t="s">
        <v>126</v>
      </c>
      <c r="DM87" s="1" t="s">
        <v>126</v>
      </c>
      <c r="DN87" s="1" t="s">
        <v>126</v>
      </c>
      <c r="DO87" s="1" t="s">
        <v>126</v>
      </c>
      <c r="DP87" s="1" t="s">
        <v>126</v>
      </c>
      <c r="DQ87" s="1" t="s">
        <v>126</v>
      </c>
      <c r="DR87" s="1" t="s">
        <v>126</v>
      </c>
      <c r="DS87" s="1" t="s">
        <v>126</v>
      </c>
      <c r="DT87" s="1" t="s">
        <v>126</v>
      </c>
      <c r="DU87" s="1" t="s">
        <v>126</v>
      </c>
      <c r="DV87" s="1" t="s">
        <v>126</v>
      </c>
      <c r="DW87" s="1" t="s">
        <v>126</v>
      </c>
      <c r="DX87" s="1" t="s">
        <v>126</v>
      </c>
      <c r="DY87" s="1" t="s">
        <v>126</v>
      </c>
      <c r="DZ87" s="1" t="s">
        <v>126</v>
      </c>
      <c r="EA87" s="1" t="s">
        <v>126</v>
      </c>
      <c r="EB87" s="1" t="s">
        <v>126</v>
      </c>
      <c r="EC87" s="1" t="s">
        <v>126</v>
      </c>
      <c r="ED87" s="1" t="s">
        <v>126</v>
      </c>
      <c r="EE87" s="1" t="s">
        <v>126</v>
      </c>
      <c r="EF87" s="1" t="s">
        <v>126</v>
      </c>
      <c r="EG87" s="1" t="s">
        <v>126</v>
      </c>
      <c r="EH87" s="1" t="s">
        <v>126</v>
      </c>
      <c r="EI87" s="1" t="s">
        <v>126</v>
      </c>
      <c r="EJ87" s="1" t="s">
        <v>126</v>
      </c>
      <c r="EK87" s="1" t="s">
        <v>126</v>
      </c>
      <c r="EL87" s="1" t="s">
        <v>126</v>
      </c>
      <c r="EM87" s="1" t="s">
        <v>126</v>
      </c>
      <c r="EN87" s="1" t="s">
        <v>126</v>
      </c>
      <c r="EO87" s="1" t="s">
        <v>126</v>
      </c>
      <c r="EP87" s="1" t="s">
        <v>126</v>
      </c>
      <c r="EQ87" s="1" t="s">
        <v>126</v>
      </c>
      <c r="ER87" s="1" t="s">
        <v>126</v>
      </c>
      <c r="ES87" s="1" t="s">
        <v>126</v>
      </c>
      <c r="ET87" s="1" t="s">
        <v>126</v>
      </c>
      <c r="EU87" s="1" t="s">
        <v>126</v>
      </c>
      <c r="EV87" s="1" t="s">
        <v>126</v>
      </c>
      <c r="EW87" s="1" t="s">
        <v>126</v>
      </c>
      <c r="EX87" s="1" t="s">
        <v>126</v>
      </c>
      <c r="EY87" s="1" t="s">
        <v>126</v>
      </c>
      <c r="EZ87" s="1" t="s">
        <v>126</v>
      </c>
      <c r="FA87" s="1" t="s">
        <v>126</v>
      </c>
      <c r="FB87" s="1" t="s">
        <v>126</v>
      </c>
      <c r="FC87" s="1" t="s">
        <v>126</v>
      </c>
      <c r="FD87" s="1" t="s">
        <v>126</v>
      </c>
      <c r="FE87" s="1" t="s">
        <v>126</v>
      </c>
      <c r="FF87" s="1" t="s">
        <v>126</v>
      </c>
      <c r="FG87" s="1" t="s">
        <v>126</v>
      </c>
      <c r="FH87" s="1" t="s">
        <v>126</v>
      </c>
      <c r="FI87" s="1" t="s">
        <v>126</v>
      </c>
      <c r="FJ87" s="1" t="s">
        <v>126</v>
      </c>
      <c r="FK87" s="1" t="s">
        <v>126</v>
      </c>
      <c r="FL87" s="1" t="s">
        <v>126</v>
      </c>
      <c r="FM87" s="1" t="s">
        <v>126</v>
      </c>
      <c r="FN87" s="1" t="s">
        <v>126</v>
      </c>
      <c r="FO87" s="1" t="s">
        <v>126</v>
      </c>
      <c r="FP87" s="1" t="s">
        <v>126</v>
      </c>
      <c r="FQ87" s="1" t="s">
        <v>126</v>
      </c>
      <c r="FR87" s="1" t="s">
        <v>126</v>
      </c>
      <c r="FS87" s="1" t="s">
        <v>126</v>
      </c>
      <c r="FT87" s="1" t="s">
        <v>126</v>
      </c>
      <c r="FU87" s="1" t="s">
        <v>126</v>
      </c>
      <c r="FV87" s="1" t="s">
        <v>126</v>
      </c>
      <c r="FW87" s="1" t="s">
        <v>126</v>
      </c>
      <c r="FX87" s="1" t="s">
        <v>126</v>
      </c>
      <c r="FY87" s="1" t="s">
        <v>126</v>
      </c>
      <c r="FZ87" s="1" t="s">
        <v>126</v>
      </c>
      <c r="GA87" s="1" t="s">
        <v>126</v>
      </c>
      <c r="GB87" s="1" t="s">
        <v>126</v>
      </c>
      <c r="GC87" s="1" t="s">
        <v>126</v>
      </c>
      <c r="GD87" s="1" t="s">
        <v>126</v>
      </c>
      <c r="GE87" s="1" t="s">
        <v>126</v>
      </c>
      <c r="GF87" s="1" t="s">
        <v>126</v>
      </c>
      <c r="GG87" s="1" t="s">
        <v>126</v>
      </c>
      <c r="GH87" s="1" t="s">
        <v>126</v>
      </c>
      <c r="GI87" s="1" t="s">
        <v>126</v>
      </c>
      <c r="GJ87" s="1" t="s">
        <v>126</v>
      </c>
      <c r="GK87" s="1" t="s">
        <v>126</v>
      </c>
      <c r="GL87" s="1" t="s">
        <v>126</v>
      </c>
      <c r="GM87" s="1" t="s">
        <v>126</v>
      </c>
      <c r="GN87" s="1" t="s">
        <v>126</v>
      </c>
      <c r="GO87" s="1" t="s">
        <v>126</v>
      </c>
      <c r="GP87" s="1" t="s">
        <v>126</v>
      </c>
      <c r="GQ87" s="1" t="s">
        <v>126</v>
      </c>
      <c r="GR87" s="1" t="s">
        <v>126</v>
      </c>
      <c r="GS87" s="1" t="s">
        <v>126</v>
      </c>
      <c r="GT87" s="1" t="s">
        <v>126</v>
      </c>
      <c r="GU87" s="1" t="s">
        <v>126</v>
      </c>
      <c r="GV87" s="1" t="s">
        <v>126</v>
      </c>
      <c r="GW87" s="1" t="s">
        <v>126</v>
      </c>
      <c r="GX87" s="1" t="s">
        <v>126</v>
      </c>
      <c r="GY87" s="1" t="s">
        <v>126</v>
      </c>
      <c r="GZ87" s="1" t="s">
        <v>126</v>
      </c>
      <c r="HA87" s="1" t="s">
        <v>126</v>
      </c>
      <c r="HB87" s="1" t="s">
        <v>126</v>
      </c>
      <c r="HC87" s="1" t="s">
        <v>126</v>
      </c>
      <c r="HD87" s="1" t="s">
        <v>126</v>
      </c>
      <c r="HE87" s="1" t="s">
        <v>126</v>
      </c>
      <c r="HF87" s="1" t="s">
        <v>126</v>
      </c>
      <c r="HG87" s="1" t="s">
        <v>126</v>
      </c>
      <c r="HH87" s="1" t="s">
        <v>126</v>
      </c>
      <c r="HI87" s="1" t="s">
        <v>126</v>
      </c>
      <c r="HJ87" s="1" t="s">
        <v>126</v>
      </c>
      <c r="HK87" s="1" t="s">
        <v>126</v>
      </c>
      <c r="HL87" s="1" t="s">
        <v>126</v>
      </c>
      <c r="HM87" s="1" t="s">
        <v>126</v>
      </c>
      <c r="HN87" s="1" t="s">
        <v>126</v>
      </c>
      <c r="HO87" s="1" t="s">
        <v>126</v>
      </c>
      <c r="HP87" s="1" t="s">
        <v>126</v>
      </c>
      <c r="HQ87" s="1" t="s">
        <v>126</v>
      </c>
      <c r="HR87" s="1" t="s">
        <v>126</v>
      </c>
      <c r="HS87" s="1" t="s">
        <v>126</v>
      </c>
      <c r="HT87" s="1" t="s">
        <v>126</v>
      </c>
      <c r="HU87" s="1" t="s">
        <v>126</v>
      </c>
      <c r="HV87" s="1" t="s">
        <v>126</v>
      </c>
      <c r="HW87" s="1" t="s">
        <v>126</v>
      </c>
      <c r="HX87" s="1" t="s">
        <v>126</v>
      </c>
      <c r="HY87" s="1" t="s">
        <v>126</v>
      </c>
      <c r="HZ87" s="1" t="s">
        <v>126</v>
      </c>
      <c r="IA87" s="1" t="s">
        <v>126</v>
      </c>
      <c r="IB87" s="1" t="s">
        <v>126</v>
      </c>
      <c r="IC87" s="1" t="s">
        <v>126</v>
      </c>
      <c r="ID87" s="1" t="s">
        <v>126</v>
      </c>
      <c r="IE87" s="1" t="s">
        <v>126</v>
      </c>
      <c r="IF87" s="1" t="s">
        <v>126</v>
      </c>
      <c r="IG87" s="1" t="s">
        <v>126</v>
      </c>
      <c r="IH87" s="1" t="s">
        <v>126</v>
      </c>
      <c r="II87" s="1" t="s">
        <v>126</v>
      </c>
      <c r="IJ87" s="1" t="s">
        <v>126</v>
      </c>
      <c r="IK87" s="1" t="s">
        <v>126</v>
      </c>
      <c r="IL87" s="1" t="s">
        <v>126</v>
      </c>
      <c r="IM87" s="1" t="s">
        <v>126</v>
      </c>
      <c r="IN87" s="1" t="s">
        <v>126</v>
      </c>
      <c r="IO87" s="1" t="s">
        <v>126</v>
      </c>
      <c r="IP87" s="1" t="s">
        <v>126</v>
      </c>
      <c r="IQ87" s="1" t="s">
        <v>126</v>
      </c>
      <c r="IR87" s="1" t="s">
        <v>126</v>
      </c>
      <c r="IS87" s="1" t="s">
        <v>126</v>
      </c>
      <c r="IT87" s="1" t="s">
        <v>126</v>
      </c>
      <c r="IU87" s="1" t="s">
        <v>126</v>
      </c>
      <c r="IV87" s="1" t="s">
        <v>126</v>
      </c>
    </row>
    <row r="88" spans="1:256" ht="23.25">
      <c r="A88" s="51" t="s">
        <v>140</v>
      </c>
      <c r="B88" s="40" t="s">
        <v>159</v>
      </c>
      <c r="C88" s="11">
        <v>0</v>
      </c>
      <c r="D88" s="39">
        <v>0</v>
      </c>
      <c r="E88" s="39"/>
      <c r="F88" s="39"/>
      <c r="G88" s="39"/>
      <c r="H88" s="39"/>
      <c r="I88" s="39"/>
      <c r="J88" s="39"/>
      <c r="K88" s="39"/>
      <c r="L88" s="39"/>
      <c r="M88" s="11">
        <f t="shared" si="2"/>
        <v>0</v>
      </c>
      <c r="N88" s="11">
        <f t="shared" si="1"/>
        <v>0</v>
      </c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</row>
    <row r="89" spans="1:256" ht="23.25">
      <c r="A89" s="1" t="s">
        <v>143</v>
      </c>
      <c r="B89" s="53"/>
      <c r="C89" s="39">
        <v>0</v>
      </c>
      <c r="D89" s="39">
        <v>0</v>
      </c>
      <c r="E89" s="39"/>
      <c r="F89" s="39"/>
      <c r="G89" s="39"/>
      <c r="H89" s="39"/>
      <c r="I89" s="39"/>
      <c r="J89" s="39"/>
      <c r="K89" s="39"/>
      <c r="L89" s="39"/>
      <c r="M89" s="11">
        <f>SUM(C89+E89+G89+I89+K89)-(D89+F89+H89+J89+L89)</f>
        <v>0</v>
      </c>
      <c r="N89" s="11">
        <f>SUM(D89+F89+H89+J89+L89)-(C89+E89+G89+I89+K89)</f>
        <v>0</v>
      </c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</row>
    <row r="90" spans="1:256" ht="23.25">
      <c r="A90" s="282" t="s">
        <v>307</v>
      </c>
      <c r="B90" s="283" t="s">
        <v>168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  <c r="IV90" s="46"/>
    </row>
    <row r="91" spans="1:14" ht="23.25">
      <c r="A91" s="285" t="s">
        <v>308</v>
      </c>
      <c r="B91" s="8" t="s">
        <v>168</v>
      </c>
      <c r="C91" s="13">
        <v>0</v>
      </c>
      <c r="D91" s="13"/>
      <c r="E91" s="13"/>
      <c r="F91" s="13"/>
      <c r="G91" s="13"/>
      <c r="H91" s="13"/>
      <c r="I91" s="13"/>
      <c r="J91" s="13"/>
      <c r="K91" s="13"/>
      <c r="L91" s="13"/>
      <c r="M91" s="13">
        <v>0</v>
      </c>
      <c r="N91" s="13">
        <f>SUM(D91+F91+H91+J91+L91)-(C91+E91+G91+I91+K91)</f>
        <v>0</v>
      </c>
    </row>
    <row r="92" spans="1:14" ht="24" thickBot="1">
      <c r="A92" s="3"/>
      <c r="B92" s="4"/>
      <c r="C92" s="14">
        <f aca="true" t="shared" si="3" ref="C92:N92">SUM(C6:C91)</f>
        <v>6875974.6899999995</v>
      </c>
      <c r="D92" s="14">
        <f t="shared" si="3"/>
        <v>6875974.6899999995</v>
      </c>
      <c r="E92" s="14">
        <f t="shared" si="3"/>
        <v>753945.74</v>
      </c>
      <c r="F92" s="14">
        <f t="shared" si="3"/>
        <v>753945.74</v>
      </c>
      <c r="G92" s="14">
        <f t="shared" si="3"/>
        <v>976191.32</v>
      </c>
      <c r="H92" s="14">
        <f t="shared" si="3"/>
        <v>976191.32</v>
      </c>
      <c r="I92" s="14">
        <f t="shared" si="3"/>
        <v>753945.74</v>
      </c>
      <c r="J92" s="14">
        <f t="shared" si="3"/>
        <v>753945.74</v>
      </c>
      <c r="K92" s="14">
        <f t="shared" si="3"/>
        <v>767713.03</v>
      </c>
      <c r="L92" s="14">
        <f t="shared" si="3"/>
        <v>767713.03</v>
      </c>
      <c r="M92" s="14">
        <f t="shared" si="3"/>
        <v>7398920.430000001</v>
      </c>
      <c r="N92" s="14">
        <f t="shared" si="3"/>
        <v>7398920.43</v>
      </c>
    </row>
    <row r="93" spans="1:14" ht="24" thickTop="1">
      <c r="A93" s="3"/>
      <c r="B93" s="4"/>
      <c r="C93" s="15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</row>
    <row r="94" spans="1:14" ht="23.25">
      <c r="A94" s="46"/>
      <c r="B94" s="50"/>
      <c r="C94" s="271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23.25">
      <c r="A95" s="46"/>
      <c r="B95" s="49"/>
      <c r="C95" s="271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23.25">
      <c r="A96" s="259"/>
      <c r="B96" s="49"/>
      <c r="C96" s="271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23.25">
      <c r="A97" s="46"/>
      <c r="B97" s="49"/>
      <c r="C97" s="271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23.25">
      <c r="A98" s="259"/>
      <c r="B98" s="50"/>
      <c r="C98" s="271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3.25">
      <c r="A99" s="46"/>
      <c r="B99" s="50"/>
      <c r="C99" s="271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3.25">
      <c r="A100" s="46"/>
      <c r="B100" s="50"/>
      <c r="C100" s="271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3.25">
      <c r="A101" s="3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3.25">
      <c r="A102" s="3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23.25">
      <c r="A103" s="3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3.25">
      <c r="A104" s="3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3.25">
      <c r="A105" s="3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3.25">
      <c r="A106" s="3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</sheetData>
  <sheetProtection/>
  <mergeCells count="8">
    <mergeCell ref="A1:N1"/>
    <mergeCell ref="A2:N2"/>
    <mergeCell ref="K4:L4"/>
    <mergeCell ref="M4:N4"/>
    <mergeCell ref="C4:D4"/>
    <mergeCell ref="E4:F4"/>
    <mergeCell ref="G4:H4"/>
    <mergeCell ref="I4:J4"/>
  </mergeCells>
  <printOptions/>
  <pageMargins left="0.1968503937007874" right="0.1968503937007874" top="0.5905511811023623" bottom="0.3937007874015748" header="0" footer="0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06"/>
  <sheetViews>
    <sheetView zoomScalePageLayoutView="0" workbookViewId="0" topLeftCell="A1">
      <pane xSplit="2" ySplit="5" topLeftCell="K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64" sqref="N64"/>
    </sheetView>
  </sheetViews>
  <sheetFormatPr defaultColWidth="9.140625" defaultRowHeight="12.75"/>
  <cols>
    <col min="1" max="1" width="55.7109375" style="5" customWidth="1"/>
    <col min="2" max="2" width="7.7109375" style="5" customWidth="1"/>
    <col min="3" max="4" width="13.57421875" style="9" customWidth="1"/>
    <col min="5" max="14" width="13.7109375" style="9" customWidth="1"/>
    <col min="15" max="62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274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BK3" s="5"/>
      <c r="BL3" s="5"/>
      <c r="BM3" s="5"/>
      <c r="BN3" s="5"/>
      <c r="BO3" s="5"/>
    </row>
    <row r="4" spans="1:67" ht="23.25">
      <c r="A4" s="307" t="s">
        <v>0</v>
      </c>
      <c r="B4" s="30" t="s">
        <v>77</v>
      </c>
      <c r="C4" s="305" t="s">
        <v>289</v>
      </c>
      <c r="D4" s="306"/>
      <c r="E4" s="305" t="s">
        <v>1</v>
      </c>
      <c r="F4" s="306"/>
      <c r="G4" s="305" t="s">
        <v>2</v>
      </c>
      <c r="H4" s="306"/>
      <c r="I4" s="305" t="s">
        <v>36</v>
      </c>
      <c r="J4" s="306"/>
      <c r="K4" s="305" t="s">
        <v>37</v>
      </c>
      <c r="L4" s="306"/>
      <c r="M4" s="305" t="s">
        <v>38</v>
      </c>
      <c r="N4" s="306"/>
      <c r="BK4" s="5"/>
      <c r="BL4" s="5"/>
      <c r="BM4" s="5"/>
      <c r="BN4" s="5"/>
      <c r="BO4" s="5"/>
    </row>
    <row r="5" spans="1:67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BK5" s="5"/>
      <c r="BL5" s="5"/>
      <c r="BM5" s="5"/>
      <c r="BN5" s="5"/>
      <c r="BO5" s="5"/>
    </row>
    <row r="6" spans="1:14" ht="23.25">
      <c r="A6" s="6" t="s">
        <v>51</v>
      </c>
      <c r="B6" s="7" t="s">
        <v>5</v>
      </c>
      <c r="C6" s="32">
        <f>'มิ.ย.'!M6</f>
        <v>0</v>
      </c>
      <c r="D6" s="32">
        <f>'มิ.ย.'!N6</f>
        <v>0</v>
      </c>
      <c r="E6" s="10"/>
      <c r="F6" s="10"/>
      <c r="G6" s="10"/>
      <c r="H6" s="10"/>
      <c r="I6" s="10"/>
      <c r="J6" s="10"/>
      <c r="K6" s="11"/>
      <c r="L6" s="11"/>
      <c r="M6" s="11">
        <f aca="true" t="shared" si="0" ref="M6:M67">SUM(C6+E6+G6+I6+K6)-(D6+F6+H6+J6+L6)</f>
        <v>0</v>
      </c>
      <c r="N6" s="11">
        <v>0</v>
      </c>
    </row>
    <row r="7" spans="1:18" ht="23.25">
      <c r="A7" s="1" t="s">
        <v>116</v>
      </c>
      <c r="B7" s="2" t="s">
        <v>6</v>
      </c>
      <c r="C7" s="58">
        <f>'มิ.ย.'!M7</f>
        <v>125332.95999999996</v>
      </c>
      <c r="D7" s="11">
        <v>0</v>
      </c>
      <c r="E7" s="12">
        <v>2347951.62</v>
      </c>
      <c r="F7" s="12"/>
      <c r="G7" s="12"/>
      <c r="H7" s="12">
        <v>381455</v>
      </c>
      <c r="I7" s="12"/>
      <c r="J7" s="12"/>
      <c r="K7" s="11"/>
      <c r="L7" s="11"/>
      <c r="M7" s="11">
        <f t="shared" si="0"/>
        <v>2091829.58</v>
      </c>
      <c r="N7" s="11">
        <v>0</v>
      </c>
      <c r="O7" s="52">
        <f>3386496.8-M7</f>
        <v>1294667.2199999997</v>
      </c>
      <c r="P7" s="74">
        <f>1.94+412100+89969+792596.28</f>
        <v>1294667.22</v>
      </c>
      <c r="Q7" s="266"/>
      <c r="R7" s="9"/>
    </row>
    <row r="8" spans="1:17" ht="23.25">
      <c r="A8" s="1" t="s">
        <v>130</v>
      </c>
      <c r="B8" s="2" t="s">
        <v>7</v>
      </c>
      <c r="C8" s="11">
        <f>'มิ.ย.'!M8</f>
        <v>571553.6</v>
      </c>
      <c r="D8" s="11">
        <f>'มิ.ย.'!N8</f>
        <v>0</v>
      </c>
      <c r="E8" s="11"/>
      <c r="F8" s="11"/>
      <c r="G8" s="11"/>
      <c r="H8" s="11">
        <v>0</v>
      </c>
      <c r="I8" s="11"/>
      <c r="J8" s="11"/>
      <c r="K8" s="11"/>
      <c r="L8" s="11"/>
      <c r="M8" s="11">
        <f t="shared" si="0"/>
        <v>571553.6</v>
      </c>
      <c r="N8" s="11">
        <v>0</v>
      </c>
      <c r="O8" s="52">
        <f>571553.6-M8</f>
        <v>0</v>
      </c>
      <c r="P8" s="52"/>
      <c r="Q8" s="52"/>
    </row>
    <row r="9" spans="1:17" ht="23.25">
      <c r="A9" s="1" t="s">
        <v>134</v>
      </c>
      <c r="B9" s="2" t="s">
        <v>7</v>
      </c>
      <c r="C9" s="11">
        <f>'มิ.ย.'!M9</f>
        <v>0</v>
      </c>
      <c r="D9" s="11">
        <f>'มิ.ย.'!N9</f>
        <v>0</v>
      </c>
      <c r="E9" s="11"/>
      <c r="F9" s="11"/>
      <c r="G9" s="11"/>
      <c r="H9" s="11">
        <f>3236879.89-36000</f>
        <v>3200879.89</v>
      </c>
      <c r="I9" s="11"/>
      <c r="J9" s="11"/>
      <c r="K9" s="11">
        <f>3236879.89-36000</f>
        <v>3200879.89</v>
      </c>
      <c r="L9" s="11"/>
      <c r="M9" s="11">
        <f t="shared" si="0"/>
        <v>0</v>
      </c>
      <c r="N9" s="11">
        <v>0</v>
      </c>
      <c r="O9" s="52"/>
      <c r="P9" s="9"/>
      <c r="Q9" s="52"/>
    </row>
    <row r="10" spans="1:16" ht="23.25">
      <c r="A10" s="1" t="s">
        <v>117</v>
      </c>
      <c r="B10" s="2" t="s">
        <v>8</v>
      </c>
      <c r="C10" s="11">
        <f>'มิ.ย.'!M10</f>
        <v>10456011.219999999</v>
      </c>
      <c r="D10" s="11">
        <f>'มิ.ย.'!N10</f>
        <v>0</v>
      </c>
      <c r="E10" s="11">
        <v>1089100.96</v>
      </c>
      <c r="F10" s="11"/>
      <c r="G10" s="11"/>
      <c r="H10" s="11"/>
      <c r="I10" s="11"/>
      <c r="J10" s="11"/>
      <c r="K10" s="225"/>
      <c r="L10" s="11">
        <f>3236879.89-36000</f>
        <v>3200879.89</v>
      </c>
      <c r="M10" s="11">
        <f t="shared" si="0"/>
        <v>8344232.289999999</v>
      </c>
      <c r="N10" s="11">
        <v>0</v>
      </c>
      <c r="O10" s="9">
        <f>8442126.05-M10</f>
        <v>97893.76000000164</v>
      </c>
      <c r="P10" s="52"/>
    </row>
    <row r="11" spans="1:16" ht="23.25">
      <c r="A11" s="1" t="s">
        <v>128</v>
      </c>
      <c r="B11" s="2" t="s">
        <v>8</v>
      </c>
      <c r="C11" s="11">
        <f>'มิ.ย.'!M11</f>
        <v>1208096.77</v>
      </c>
      <c r="D11" s="11">
        <f>'มิ.ย.'!N11</f>
        <v>0</v>
      </c>
      <c r="E11" s="11">
        <v>20000</v>
      </c>
      <c r="F11" s="11"/>
      <c r="G11" s="11"/>
      <c r="H11" s="11"/>
      <c r="I11" s="11"/>
      <c r="J11" s="11"/>
      <c r="K11" s="11"/>
      <c r="L11" s="11"/>
      <c r="M11" s="11">
        <f t="shared" si="0"/>
        <v>1228096.77</v>
      </c>
      <c r="N11" s="11">
        <v>0</v>
      </c>
      <c r="O11" s="52">
        <f>1228096.77-M11</f>
        <v>0</v>
      </c>
      <c r="P11" s="52"/>
    </row>
    <row r="12" spans="1:16" ht="23.25">
      <c r="A12" s="1" t="s">
        <v>131</v>
      </c>
      <c r="B12" s="2" t="s">
        <v>8</v>
      </c>
      <c r="C12" s="11">
        <f>'มิ.ย.'!M12</f>
        <v>1621.45</v>
      </c>
      <c r="D12" s="11">
        <f>'มิ.ย.'!N12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1621.45</v>
      </c>
      <c r="N12" s="11">
        <v>0</v>
      </c>
      <c r="O12" s="52">
        <f>1621.45-M12</f>
        <v>0</v>
      </c>
      <c r="P12" s="52"/>
    </row>
    <row r="13" spans="1:17" ht="23.25">
      <c r="A13" s="1" t="s">
        <v>39</v>
      </c>
      <c r="B13" s="2" t="s">
        <v>40</v>
      </c>
      <c r="C13" s="11">
        <f>'มิ.ย.'!M13</f>
        <v>32795</v>
      </c>
      <c r="D13" s="11">
        <f>'มิ.ย.'!N13</f>
        <v>0</v>
      </c>
      <c r="E13" s="11"/>
      <c r="F13" s="11">
        <v>4030</v>
      </c>
      <c r="G13" s="11">
        <v>165220</v>
      </c>
      <c r="H13" s="11"/>
      <c r="I13" s="11"/>
      <c r="J13" s="11"/>
      <c r="K13" s="11"/>
      <c r="L13" s="11">
        <f>132070-4030</f>
        <v>128040</v>
      </c>
      <c r="M13" s="11">
        <f t="shared" si="0"/>
        <v>65945</v>
      </c>
      <c r="N13" s="11">
        <v>0</v>
      </c>
      <c r="O13" s="52"/>
      <c r="P13" s="279">
        <v>30000</v>
      </c>
      <c r="Q13" s="52"/>
    </row>
    <row r="14" spans="1:18" ht="23.25">
      <c r="A14" s="1" t="s">
        <v>110</v>
      </c>
      <c r="B14" s="2" t="s">
        <v>111</v>
      </c>
      <c r="C14" s="11">
        <f>'มิ.ย.'!M14</f>
        <v>0</v>
      </c>
      <c r="D14" s="11">
        <f>'มิ.ย.'!N14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  <c r="O14" s="52"/>
      <c r="P14" s="279">
        <f>2000+295+500</f>
        <v>2795</v>
      </c>
      <c r="Q14" s="52"/>
      <c r="R14" s="52"/>
    </row>
    <row r="15" spans="1:17" ht="23.25">
      <c r="A15" s="1" t="s">
        <v>52</v>
      </c>
      <c r="B15" s="2" t="s">
        <v>9</v>
      </c>
      <c r="C15" s="11">
        <f>'มิ.ย.'!M15</f>
        <v>359287</v>
      </c>
      <c r="D15" s="11">
        <f>'มิ.ย.'!N15</f>
        <v>0</v>
      </c>
      <c r="E15" s="11"/>
      <c r="F15" s="11"/>
      <c r="G15" s="11">
        <v>5500</v>
      </c>
      <c r="H15" s="11"/>
      <c r="I15" s="11"/>
      <c r="J15" s="11"/>
      <c r="K15" s="11"/>
      <c r="L15" s="11"/>
      <c r="M15" s="11">
        <f t="shared" si="0"/>
        <v>364787</v>
      </c>
      <c r="N15" s="11">
        <v>0</v>
      </c>
      <c r="O15" s="52"/>
      <c r="P15" s="280">
        <v>10400</v>
      </c>
      <c r="Q15" s="52"/>
    </row>
    <row r="16" spans="1:16" ht="23.25">
      <c r="A16" s="6" t="s">
        <v>10</v>
      </c>
      <c r="B16" s="7" t="s">
        <v>11</v>
      </c>
      <c r="C16" s="11">
        <f>'มิ.ย.'!M16</f>
        <v>2037895</v>
      </c>
      <c r="D16" s="11">
        <f>'มิ.ย.'!N16</f>
        <v>0</v>
      </c>
      <c r="E16" s="11"/>
      <c r="F16" s="11"/>
      <c r="G16" s="11">
        <v>226780</v>
      </c>
      <c r="H16" s="11"/>
      <c r="I16" s="11"/>
      <c r="J16" s="11"/>
      <c r="K16" s="11"/>
      <c r="L16" s="11"/>
      <c r="M16" s="11">
        <f t="shared" si="0"/>
        <v>2264675</v>
      </c>
      <c r="N16" s="11">
        <v>0</v>
      </c>
      <c r="O16" s="52"/>
      <c r="P16" s="279">
        <v>18720</v>
      </c>
    </row>
    <row r="17" spans="1:16" ht="23.25">
      <c r="A17" s="1" t="s">
        <v>12</v>
      </c>
      <c r="B17" s="2" t="s">
        <v>13</v>
      </c>
      <c r="C17" s="11">
        <f>'มิ.ย.'!M17</f>
        <v>0</v>
      </c>
      <c r="D17" s="11">
        <f>'มิ.ย.'!N17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v>0</v>
      </c>
      <c r="O17" s="52"/>
      <c r="P17" s="279">
        <v>4030</v>
      </c>
    </row>
    <row r="18" spans="1:16" ht="23.25">
      <c r="A18" s="1" t="s">
        <v>14</v>
      </c>
      <c r="B18" s="2" t="s">
        <v>15</v>
      </c>
      <c r="C18" s="11">
        <f>'มิ.ย.'!M18</f>
        <v>1221660</v>
      </c>
      <c r="D18" s="11">
        <f>'มิ.ย.'!N18</f>
        <v>0</v>
      </c>
      <c r="E18" s="11"/>
      <c r="F18" s="11"/>
      <c r="G18" s="11">
        <v>135740</v>
      </c>
      <c r="H18" s="11"/>
      <c r="I18" s="11"/>
      <c r="J18" s="11"/>
      <c r="K18" s="11"/>
      <c r="L18" s="11"/>
      <c r="M18" s="11">
        <f t="shared" si="0"/>
        <v>1357400</v>
      </c>
      <c r="N18" s="11">
        <v>0</v>
      </c>
      <c r="O18" s="52"/>
      <c r="P18" s="52">
        <f>SUM(P13:P17)</f>
        <v>65945</v>
      </c>
    </row>
    <row r="19" spans="1:15" ht="23.25">
      <c r="A19" s="1" t="s">
        <v>16</v>
      </c>
      <c r="B19" s="2" t="s">
        <v>17</v>
      </c>
      <c r="C19" s="11">
        <f>'มิ.ย.'!M19</f>
        <v>2519648</v>
      </c>
      <c r="D19" s="11">
        <f>'มิ.ย.'!N19</f>
        <v>0</v>
      </c>
      <c r="E19" s="11"/>
      <c r="F19" s="11"/>
      <c r="G19" s="11">
        <v>268145</v>
      </c>
      <c r="H19" s="11"/>
      <c r="I19" s="11"/>
      <c r="J19" s="11"/>
      <c r="K19" s="11"/>
      <c r="L19" s="11"/>
      <c r="M19" s="11">
        <f t="shared" si="0"/>
        <v>2787793</v>
      </c>
      <c r="N19" s="11">
        <v>0</v>
      </c>
      <c r="O19" s="52"/>
    </row>
    <row r="20" spans="1:15" ht="23.25">
      <c r="A20" s="1" t="s">
        <v>18</v>
      </c>
      <c r="B20" s="2" t="s">
        <v>19</v>
      </c>
      <c r="C20" s="11">
        <f>'มิ.ย.'!M20</f>
        <v>3001594.64</v>
      </c>
      <c r="D20" s="11">
        <f>'มิ.ย.'!N20</f>
        <v>0</v>
      </c>
      <c r="E20" s="11"/>
      <c r="F20" s="11"/>
      <c r="G20" s="11">
        <f>261382-36000</f>
        <v>225382</v>
      </c>
      <c r="H20" s="11"/>
      <c r="I20" s="11"/>
      <c r="J20" s="11"/>
      <c r="K20" s="11">
        <f>132070-4030</f>
        <v>128040</v>
      </c>
      <c r="L20" s="11"/>
      <c r="M20" s="11">
        <f t="shared" si="0"/>
        <v>3355016.64</v>
      </c>
      <c r="N20" s="11">
        <v>0</v>
      </c>
      <c r="O20" s="52"/>
    </row>
    <row r="21" spans="1:14" ht="23.25">
      <c r="A21" s="1" t="s">
        <v>20</v>
      </c>
      <c r="B21" s="2" t="s">
        <v>21</v>
      </c>
      <c r="C21" s="11">
        <f>'มิ.ย.'!M21</f>
        <v>1480632.45</v>
      </c>
      <c r="D21" s="11">
        <f>'มิ.ย.'!N21</f>
        <v>0</v>
      </c>
      <c r="E21" s="12"/>
      <c r="F21" s="12"/>
      <c r="G21" s="12">
        <v>38340</v>
      </c>
      <c r="H21" s="12"/>
      <c r="I21" s="12"/>
      <c r="J21" s="12"/>
      <c r="K21" s="12"/>
      <c r="L21" s="12"/>
      <c r="M21" s="11">
        <f t="shared" si="0"/>
        <v>1518972.45</v>
      </c>
      <c r="N21" s="11">
        <v>0</v>
      </c>
    </row>
    <row r="22" spans="1:14" ht="23.25">
      <c r="A22" s="1" t="s">
        <v>22</v>
      </c>
      <c r="B22" s="2" t="s">
        <v>23</v>
      </c>
      <c r="C22" s="11">
        <f>'มิ.ย.'!M22</f>
        <v>99740.69</v>
      </c>
      <c r="D22" s="11">
        <f>'มิ.ย.'!N22</f>
        <v>0</v>
      </c>
      <c r="E22" s="11"/>
      <c r="F22" s="11"/>
      <c r="G22" s="11">
        <v>14083.16</v>
      </c>
      <c r="H22" s="11"/>
      <c r="I22" s="11"/>
      <c r="J22" s="11"/>
      <c r="K22" s="11"/>
      <c r="L22" s="11"/>
      <c r="M22" s="11">
        <f t="shared" si="0"/>
        <v>113823.85</v>
      </c>
      <c r="N22" s="11">
        <v>0</v>
      </c>
    </row>
    <row r="23" spans="1:14" ht="23.25">
      <c r="A23" s="1" t="s">
        <v>24</v>
      </c>
      <c r="B23" s="2" t="s">
        <v>25</v>
      </c>
      <c r="C23" s="11">
        <f>'มิ.ย.'!M23</f>
        <v>2507000</v>
      </c>
      <c r="D23" s="11">
        <f>'มิ.ย.'!N23</f>
        <v>0</v>
      </c>
      <c r="E23" s="11"/>
      <c r="F23" s="11"/>
      <c r="G23" s="11"/>
      <c r="H23" s="11"/>
      <c r="I23" s="11"/>
      <c r="J23" s="11"/>
      <c r="K23" s="11"/>
      <c r="L23" s="11"/>
      <c r="M23" s="11">
        <f t="shared" si="0"/>
        <v>2507000</v>
      </c>
      <c r="N23" s="11">
        <v>0</v>
      </c>
    </row>
    <row r="24" spans="1:14" ht="23.25">
      <c r="A24" s="1" t="s">
        <v>26</v>
      </c>
      <c r="B24" s="2" t="s">
        <v>27</v>
      </c>
      <c r="C24" s="11">
        <f>'มิ.ย.'!M24</f>
        <v>77596</v>
      </c>
      <c r="D24" s="11">
        <f>'มิ.ย.'!N24</f>
        <v>0</v>
      </c>
      <c r="E24" s="11"/>
      <c r="F24" s="11"/>
      <c r="G24" s="11"/>
      <c r="H24" s="11"/>
      <c r="I24" s="11"/>
      <c r="J24" s="11"/>
      <c r="K24" s="12"/>
      <c r="L24" s="12"/>
      <c r="M24" s="11">
        <f t="shared" si="0"/>
        <v>77596</v>
      </c>
      <c r="N24" s="11">
        <v>0</v>
      </c>
    </row>
    <row r="25" spans="1:14" ht="23.25">
      <c r="A25" s="1" t="s">
        <v>28</v>
      </c>
      <c r="B25" s="2" t="s">
        <v>29</v>
      </c>
      <c r="C25" s="11">
        <f>'มิ.ย.'!M25</f>
        <v>95000</v>
      </c>
      <c r="D25" s="11">
        <f>'มิ.ย.'!N25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95000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'มิ.ย.'!M26</f>
        <v>54000</v>
      </c>
      <c r="D26" s="11">
        <f>'มิ.ย.'!N26</f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54000</v>
      </c>
      <c r="N26" s="11">
        <v>0</v>
      </c>
    </row>
    <row r="27" spans="1:14" ht="23.25">
      <c r="A27" s="1" t="s">
        <v>41</v>
      </c>
      <c r="B27" s="2" t="s">
        <v>42</v>
      </c>
      <c r="C27" s="11">
        <f>'มิ.ย.'!M27</f>
        <v>0</v>
      </c>
      <c r="D27" s="11">
        <f>'มิ.ย.'!N27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v>0</v>
      </c>
      <c r="N27" s="11">
        <f aca="true" t="shared" si="1" ref="N27:N91">SUM(D27+F27+H27+J27+L27)-(C27+E27+G27+I27+K27)</f>
        <v>0</v>
      </c>
    </row>
    <row r="28" spans="1:14" ht="23.25">
      <c r="A28" s="1" t="s">
        <v>44</v>
      </c>
      <c r="B28" s="2" t="s">
        <v>30</v>
      </c>
      <c r="C28" s="11">
        <f>'มิ.ย.'!M28</f>
        <v>0</v>
      </c>
      <c r="D28" s="11">
        <f>'มิ.ย.'!N28</f>
        <v>2875247.9099999997</v>
      </c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1">
        <f t="shared" si="1"/>
        <v>2875247.9099999997</v>
      </c>
    </row>
    <row r="29" spans="1:14" ht="23.25">
      <c r="A29" s="1" t="s">
        <v>45</v>
      </c>
      <c r="B29" s="2" t="s">
        <v>43</v>
      </c>
      <c r="C29" s="11">
        <f>'มิ.ย.'!M29</f>
        <v>0</v>
      </c>
      <c r="D29" s="11">
        <f>'มิ.ย.'!N29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7" ht="23.25">
      <c r="A30" s="1" t="s">
        <v>53</v>
      </c>
      <c r="B30" s="2" t="s">
        <v>31</v>
      </c>
      <c r="C30" s="11">
        <f>'มิ.ย.'!M30</f>
        <v>0</v>
      </c>
      <c r="D30" s="11">
        <f>'มิ.ย.'!N30</f>
        <v>0</v>
      </c>
      <c r="E30" s="11"/>
      <c r="F30" s="11"/>
      <c r="G30" s="11">
        <v>75200</v>
      </c>
      <c r="H30" s="11"/>
      <c r="I30" s="11"/>
      <c r="J30" s="11"/>
      <c r="K30" s="11"/>
      <c r="L30" s="11"/>
      <c r="M30" s="11">
        <f t="shared" si="0"/>
        <v>75200</v>
      </c>
      <c r="N30" s="11">
        <v>0</v>
      </c>
      <c r="Q30" s="52"/>
    </row>
    <row r="31" spans="1:14" ht="23.25">
      <c r="A31" s="1" t="s">
        <v>32</v>
      </c>
      <c r="B31" s="2" t="s">
        <v>33</v>
      </c>
      <c r="C31" s="11">
        <v>0</v>
      </c>
      <c r="D31" s="11">
        <f>'มิ.ย.'!N31</f>
        <v>0</v>
      </c>
      <c r="E31" s="11"/>
      <c r="F31" s="11">
        <v>501988</v>
      </c>
      <c r="G31" s="11"/>
      <c r="H31" s="11"/>
      <c r="I31" s="11">
        <v>501988</v>
      </c>
      <c r="J31" s="11"/>
      <c r="K31" s="11"/>
      <c r="L31" s="11"/>
      <c r="M31" s="11">
        <v>0</v>
      </c>
      <c r="N31" s="11">
        <f t="shared" si="1"/>
        <v>0</v>
      </c>
    </row>
    <row r="32" spans="1:17" ht="23.25">
      <c r="A32" s="1" t="s">
        <v>35</v>
      </c>
      <c r="B32" s="2" t="s">
        <v>46</v>
      </c>
      <c r="C32" s="11">
        <f>'มิ.ย.'!M32</f>
        <v>0</v>
      </c>
      <c r="D32" s="11">
        <f>'มิ.ย.'!N32</f>
        <v>0</v>
      </c>
      <c r="E32" s="11"/>
      <c r="F32" s="11"/>
      <c r="G32" s="11"/>
      <c r="H32" s="11"/>
      <c r="I32" s="11"/>
      <c r="J32" s="11"/>
      <c r="K32" s="11"/>
      <c r="L32" s="11"/>
      <c r="M32" s="11">
        <v>0</v>
      </c>
      <c r="N32" s="11">
        <f t="shared" si="1"/>
        <v>0</v>
      </c>
      <c r="P32" s="52"/>
      <c r="Q32" s="52"/>
    </row>
    <row r="33" spans="1:14" ht="23.25">
      <c r="A33" s="1" t="s">
        <v>136</v>
      </c>
      <c r="B33" s="2" t="s">
        <v>47</v>
      </c>
      <c r="C33" s="11">
        <f>'มิ.ย.'!M33</f>
        <v>0</v>
      </c>
      <c r="D33" s="11">
        <f>'มิ.ย.'!N33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f t="shared" si="0"/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'มิ.ย.'!M34</f>
        <v>0</v>
      </c>
      <c r="D34" s="11">
        <f>'มิ.ย.'!N34</f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'มิ.ย.'!M35</f>
        <v>0</v>
      </c>
      <c r="D35" s="11">
        <f>'มิ.ย.'!N35</f>
        <v>19197.959999999995</v>
      </c>
      <c r="E35" s="11"/>
      <c r="F35" s="11"/>
      <c r="G35" s="11">
        <v>19197.96</v>
      </c>
      <c r="H35" s="11">
        <v>1502.81</v>
      </c>
      <c r="I35" s="11"/>
      <c r="J35" s="11"/>
      <c r="K35" s="11"/>
      <c r="L35" s="11"/>
      <c r="M35" s="11">
        <v>0</v>
      </c>
      <c r="N35" s="11">
        <f t="shared" si="1"/>
        <v>1502.8099999999977</v>
      </c>
    </row>
    <row r="36" spans="1:14" ht="23.25">
      <c r="A36" s="6" t="s">
        <v>72</v>
      </c>
      <c r="B36" s="7">
        <v>903</v>
      </c>
      <c r="C36" s="11">
        <f>'มิ.ย.'!M36</f>
        <v>0</v>
      </c>
      <c r="D36" s="11">
        <f>'มิ.ย.'!N36</f>
        <v>661376.5</v>
      </c>
      <c r="E36" s="11"/>
      <c r="F36" s="11"/>
      <c r="G36" s="11">
        <v>11975</v>
      </c>
      <c r="H36" s="11"/>
      <c r="I36" s="11"/>
      <c r="J36" s="11"/>
      <c r="K36" s="11"/>
      <c r="L36" s="11"/>
      <c r="M36" s="11">
        <v>0</v>
      </c>
      <c r="N36" s="11">
        <f t="shared" si="1"/>
        <v>649401.5</v>
      </c>
    </row>
    <row r="37" spans="1:14" ht="23.25">
      <c r="A37" s="1" t="s">
        <v>73</v>
      </c>
      <c r="B37" s="2">
        <v>904</v>
      </c>
      <c r="C37" s="11">
        <f>'มิ.ย.'!M37</f>
        <v>1690</v>
      </c>
      <c r="D37" s="11">
        <f>'มิ.ย.'!N37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1690</v>
      </c>
      <c r="N37" s="11">
        <v>0</v>
      </c>
    </row>
    <row r="38" spans="1:14" ht="23.25">
      <c r="A38" s="1" t="s">
        <v>74</v>
      </c>
      <c r="B38" s="2" t="s">
        <v>49</v>
      </c>
      <c r="C38" s="11">
        <f>'มิ.ย.'!M38</f>
        <v>0</v>
      </c>
      <c r="D38" s="11">
        <f>'มิ.ย.'!N38</f>
        <v>0</v>
      </c>
      <c r="E38" s="11"/>
      <c r="F38" s="11"/>
      <c r="G38" s="11"/>
      <c r="H38" s="11"/>
      <c r="I38" s="11"/>
      <c r="J38" s="11"/>
      <c r="K38" s="11"/>
      <c r="L38" s="11"/>
      <c r="M38" s="11">
        <v>0</v>
      </c>
      <c r="N38" s="11">
        <f t="shared" si="1"/>
        <v>0</v>
      </c>
    </row>
    <row r="39" spans="1:14" ht="23.25">
      <c r="A39" s="1" t="s">
        <v>75</v>
      </c>
      <c r="B39" s="2" t="s">
        <v>50</v>
      </c>
      <c r="C39" s="11">
        <f>'มิ.ย.'!M39</f>
        <v>0</v>
      </c>
      <c r="D39" s="11">
        <f>'มิ.ย.'!N39</f>
        <v>0</v>
      </c>
      <c r="E39" s="11"/>
      <c r="F39" s="11"/>
      <c r="G39" s="11"/>
      <c r="H39" s="11"/>
      <c r="I39" s="11"/>
      <c r="J39" s="11"/>
      <c r="K39" s="11"/>
      <c r="L39" s="11"/>
      <c r="M39" s="11">
        <v>0</v>
      </c>
      <c r="N39" s="11">
        <f t="shared" si="1"/>
        <v>0</v>
      </c>
    </row>
    <row r="40" spans="1:14" ht="23.25">
      <c r="A40" s="1" t="s">
        <v>54</v>
      </c>
      <c r="B40" s="2">
        <v>900</v>
      </c>
      <c r="C40" s="11">
        <f>'มิ.ย.'!M40</f>
        <v>0</v>
      </c>
      <c r="D40" s="11">
        <f>'มิ.ย.'!N40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'มิ.ย.'!M41</f>
        <v>0</v>
      </c>
      <c r="D41" s="11">
        <f>'มิ.ย.'!N41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f t="shared" si="0"/>
        <v>0</v>
      </c>
      <c r="N41" s="11">
        <v>0</v>
      </c>
    </row>
    <row r="42" spans="1:14" ht="23.25">
      <c r="A42" s="1" t="s">
        <v>56</v>
      </c>
      <c r="B42" s="2">
        <v>900</v>
      </c>
      <c r="C42" s="11">
        <f>'มิ.ย.'!M42</f>
        <v>0</v>
      </c>
      <c r="D42" s="11">
        <f>'มิ.ย.'!N42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'มิ.ย.'!M43</f>
        <v>0</v>
      </c>
      <c r="D43" s="11">
        <f>'มิ.ย.'!N43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'มิ.ย.'!M44</f>
        <v>202680</v>
      </c>
      <c r="D44" s="11">
        <f>'มิ.ย.'!N44</f>
        <v>0</v>
      </c>
      <c r="E44" s="11"/>
      <c r="F44" s="11"/>
      <c r="G44" s="11">
        <v>33780</v>
      </c>
      <c r="H44" s="11"/>
      <c r="I44" s="11"/>
      <c r="J44" s="11"/>
      <c r="K44" s="11"/>
      <c r="L44" s="11"/>
      <c r="M44" s="11">
        <f t="shared" si="0"/>
        <v>236460</v>
      </c>
      <c r="N44" s="11">
        <v>0</v>
      </c>
    </row>
    <row r="45" spans="1:14" ht="23.25">
      <c r="A45" s="6" t="s">
        <v>58</v>
      </c>
      <c r="B45" s="2">
        <v>900</v>
      </c>
      <c r="C45" s="11">
        <f>'มิ.ย.'!M45</f>
        <v>50760</v>
      </c>
      <c r="D45" s="11">
        <f>'มิ.ย.'!N45</f>
        <v>0</v>
      </c>
      <c r="E45" s="11"/>
      <c r="F45" s="11"/>
      <c r="G45" s="11">
        <v>8460</v>
      </c>
      <c r="H45" s="11"/>
      <c r="I45" s="11"/>
      <c r="J45" s="11"/>
      <c r="K45" s="12"/>
      <c r="L45" s="12"/>
      <c r="M45" s="11">
        <f t="shared" si="0"/>
        <v>59220</v>
      </c>
      <c r="N45" s="11">
        <v>0</v>
      </c>
    </row>
    <row r="46" spans="1:14" ht="23.25">
      <c r="A46" s="1" t="s">
        <v>158</v>
      </c>
      <c r="B46" s="2">
        <v>900</v>
      </c>
      <c r="C46" s="11">
        <f>'มิ.ย.'!M46</f>
        <v>12969</v>
      </c>
      <c r="D46" s="11">
        <f>'มิ.ย.'!N46</f>
        <v>0</v>
      </c>
      <c r="E46" s="11"/>
      <c r="F46" s="11"/>
      <c r="G46" s="11"/>
      <c r="H46" s="11"/>
      <c r="I46" s="11"/>
      <c r="J46" s="11"/>
      <c r="K46" s="11"/>
      <c r="L46" s="11"/>
      <c r="M46" s="11">
        <f t="shared" si="0"/>
        <v>12969</v>
      </c>
      <c r="N46" s="11">
        <v>0</v>
      </c>
    </row>
    <row r="47" spans="1:14" ht="23.25">
      <c r="A47" s="1" t="s">
        <v>166</v>
      </c>
      <c r="B47" s="2">
        <v>900</v>
      </c>
      <c r="C47" s="11">
        <f>'มิ.ย.'!M47</f>
        <v>0</v>
      </c>
      <c r="D47" s="11">
        <f>'มิ.ย.'!N47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v>0</v>
      </c>
      <c r="N47" s="11">
        <f t="shared" si="1"/>
        <v>0</v>
      </c>
    </row>
    <row r="48" spans="1:16" ht="23.25">
      <c r="A48" s="1" t="s">
        <v>60</v>
      </c>
      <c r="B48" s="2">
        <v>900</v>
      </c>
      <c r="C48" s="11">
        <f>'มิ.ย.'!M48</f>
        <v>0</v>
      </c>
      <c r="D48" s="11">
        <f>'มิ.ย.'!N48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v>0</v>
      </c>
      <c r="N48" s="11">
        <f t="shared" si="1"/>
        <v>0</v>
      </c>
      <c r="O48" s="52"/>
      <c r="P48" s="52"/>
    </row>
    <row r="49" spans="1:15" ht="23.25">
      <c r="A49" s="1" t="s">
        <v>61</v>
      </c>
      <c r="B49" s="2" t="s">
        <v>34</v>
      </c>
      <c r="C49" s="11">
        <f>'มิ.ย.'!M49</f>
        <v>0</v>
      </c>
      <c r="D49" s="11">
        <f>'มิ.ย.'!N49</f>
        <v>1193554</v>
      </c>
      <c r="E49" s="11"/>
      <c r="F49" s="11">
        <v>20000</v>
      </c>
      <c r="G49" s="11"/>
      <c r="H49" s="11"/>
      <c r="I49" s="11"/>
      <c r="J49" s="11"/>
      <c r="K49" s="11"/>
      <c r="L49" s="11"/>
      <c r="M49" s="11">
        <v>0</v>
      </c>
      <c r="N49" s="11">
        <f t="shared" si="1"/>
        <v>1213554</v>
      </c>
      <c r="O49" s="52"/>
    </row>
    <row r="50" spans="1:15" ht="23.25">
      <c r="A50" s="1" t="s">
        <v>62</v>
      </c>
      <c r="B50" s="2" t="s">
        <v>34</v>
      </c>
      <c r="C50" s="11">
        <f>'มิ.ย.'!M50</f>
        <v>0</v>
      </c>
      <c r="D50" s="11">
        <f>'มิ.ย.'!N50</f>
        <v>14542.77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14542.77</v>
      </c>
      <c r="O50" s="52"/>
    </row>
    <row r="51" spans="1:15" ht="23.25">
      <c r="A51" s="1" t="s">
        <v>144</v>
      </c>
      <c r="B51" s="2">
        <v>900</v>
      </c>
      <c r="C51" s="11">
        <f>'มิ.ย.'!M51</f>
        <v>0</v>
      </c>
      <c r="D51" s="11">
        <f>'มิ.ย.'!N51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v>0</v>
      </c>
      <c r="N51" s="11">
        <f t="shared" si="1"/>
        <v>0</v>
      </c>
      <c r="O51" s="52"/>
    </row>
    <row r="52" spans="1:15" ht="23.25">
      <c r="A52" s="1" t="s">
        <v>64</v>
      </c>
      <c r="B52" s="2">
        <v>900</v>
      </c>
      <c r="C52" s="11">
        <f>'มิ.ย.'!M52</f>
        <v>0</v>
      </c>
      <c r="D52" s="11">
        <f>'มิ.ย.'!N52</f>
        <v>6500</v>
      </c>
      <c r="E52" s="11"/>
      <c r="F52" s="11"/>
      <c r="G52" s="11"/>
      <c r="H52" s="11"/>
      <c r="I52" s="11"/>
      <c r="J52" s="11"/>
      <c r="K52" s="11"/>
      <c r="L52" s="11"/>
      <c r="M52" s="11">
        <v>0</v>
      </c>
      <c r="N52" s="11">
        <f t="shared" si="1"/>
        <v>6500</v>
      </c>
      <c r="O52" s="52"/>
    </row>
    <row r="53" spans="1:15" ht="23.25">
      <c r="A53" s="1" t="s">
        <v>65</v>
      </c>
      <c r="B53" s="2">
        <v>900</v>
      </c>
      <c r="C53" s="11">
        <f>'มิ.ย.'!M53</f>
        <v>0</v>
      </c>
      <c r="D53" s="11">
        <f>'มิ.ย.'!N53</f>
        <v>2000</v>
      </c>
      <c r="E53" s="11"/>
      <c r="F53" s="11"/>
      <c r="G53" s="11"/>
      <c r="H53" s="11"/>
      <c r="I53" s="11"/>
      <c r="J53" s="11"/>
      <c r="K53" s="11"/>
      <c r="L53" s="11"/>
      <c r="M53" s="11">
        <v>0</v>
      </c>
      <c r="N53" s="11">
        <f t="shared" si="1"/>
        <v>2000</v>
      </c>
      <c r="O53" s="52"/>
    </row>
    <row r="54" spans="1:15" ht="23.25">
      <c r="A54" s="1" t="s">
        <v>66</v>
      </c>
      <c r="B54" s="2">
        <v>900</v>
      </c>
      <c r="C54" s="11">
        <f>'มิ.ย.'!M54</f>
        <v>0</v>
      </c>
      <c r="D54" s="11">
        <f>'มิ.ย.'!N54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f t="shared" si="1"/>
        <v>0</v>
      </c>
      <c r="O54" s="52"/>
    </row>
    <row r="55" spans="1:14" ht="23.25">
      <c r="A55" s="1" t="s">
        <v>296</v>
      </c>
      <c r="B55" s="2">
        <v>900</v>
      </c>
      <c r="C55" s="11">
        <f>'มิ.ย.'!M55</f>
        <v>0</v>
      </c>
      <c r="D55" s="11">
        <f>'มิ.ย.'!N55</f>
        <v>20000</v>
      </c>
      <c r="E55" s="11"/>
      <c r="F55" s="11"/>
      <c r="G55" s="11"/>
      <c r="H55" s="11"/>
      <c r="I55" s="11"/>
      <c r="J55" s="11"/>
      <c r="K55" s="11"/>
      <c r="L55" s="11"/>
      <c r="M55" s="11">
        <v>0</v>
      </c>
      <c r="N55" s="11">
        <f t="shared" si="1"/>
        <v>20000</v>
      </c>
    </row>
    <row r="56" spans="1:14" ht="23.25">
      <c r="A56" s="1" t="s">
        <v>142</v>
      </c>
      <c r="B56" s="2" t="s">
        <v>34</v>
      </c>
      <c r="C56" s="11">
        <v>0</v>
      </c>
      <c r="D56" s="11">
        <f>'มิ.ย.'!N56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f t="shared" si="0"/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'มิ.ย.'!M57</f>
        <v>0</v>
      </c>
      <c r="D57" s="11">
        <f>'มิ.ย.'!N57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292</v>
      </c>
      <c r="B58" s="2" t="s">
        <v>34</v>
      </c>
      <c r="C58" s="11">
        <f>'มิ.ย.'!M58</f>
        <v>0</v>
      </c>
      <c r="D58" s="11">
        <f>'มิ.ย.'!N58</f>
        <v>295</v>
      </c>
      <c r="E58" s="12"/>
      <c r="F58" s="12"/>
      <c r="G58" s="12"/>
      <c r="H58" s="12"/>
      <c r="I58" s="12"/>
      <c r="J58" s="12"/>
      <c r="K58" s="12"/>
      <c r="L58" s="12"/>
      <c r="M58" s="11">
        <v>0</v>
      </c>
      <c r="N58" s="11">
        <f t="shared" si="1"/>
        <v>295</v>
      </c>
    </row>
    <row r="59" spans="1:14" ht="23.25">
      <c r="A59" s="1" t="s">
        <v>70</v>
      </c>
      <c r="B59" s="2" t="s">
        <v>34</v>
      </c>
      <c r="C59" s="11">
        <f>'มิ.ย.'!M59</f>
        <v>0</v>
      </c>
      <c r="D59" s="11">
        <f>'มิ.ย.'!N59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'มิ.ย.'!M60</f>
        <v>0</v>
      </c>
      <c r="D60" s="11">
        <f>'มิ.ย.'!N60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f>'มิ.ย.'!M61</f>
        <v>0</v>
      </c>
      <c r="D61" s="11">
        <f>'มิ.ย.'!N61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'มิ.ย.'!M62</f>
        <v>0</v>
      </c>
      <c r="D62" s="11">
        <f>'มิ.ย.'!N62</f>
        <v>299500</v>
      </c>
      <c r="E62" s="11"/>
      <c r="F62" s="11">
        <v>1978534.58</v>
      </c>
      <c r="G62" s="11">
        <v>1978534.58</v>
      </c>
      <c r="H62" s="11"/>
      <c r="I62" s="11"/>
      <c r="J62" s="11"/>
      <c r="K62" s="11"/>
      <c r="L62" s="11"/>
      <c r="M62" s="11">
        <v>0</v>
      </c>
      <c r="N62" s="11">
        <f t="shared" si="1"/>
        <v>299500</v>
      </c>
    </row>
    <row r="63" spans="1:14" ht="23.25">
      <c r="A63" s="1" t="s">
        <v>278</v>
      </c>
      <c r="B63" s="2" t="s">
        <v>167</v>
      </c>
      <c r="C63" s="11">
        <v>0</v>
      </c>
      <c r="D63" s="11">
        <f>'มิ.ย.'!N63</f>
        <v>503066</v>
      </c>
      <c r="E63" s="11"/>
      <c r="F63" s="11"/>
      <c r="G63" s="11"/>
      <c r="H63" s="11"/>
      <c r="I63" s="11"/>
      <c r="J63" s="11"/>
      <c r="K63" s="11"/>
      <c r="L63" s="11"/>
      <c r="M63" s="11">
        <v>0</v>
      </c>
      <c r="N63" s="11">
        <f t="shared" si="1"/>
        <v>503066</v>
      </c>
    </row>
    <row r="64" spans="1:16" ht="23.25">
      <c r="A64" s="1" t="s">
        <v>277</v>
      </c>
      <c r="B64" s="2" t="s">
        <v>163</v>
      </c>
      <c r="C64" s="11">
        <f>'มิ.ย.'!M64</f>
        <v>0</v>
      </c>
      <c r="D64" s="11">
        <f>'มิ.ย.'!N64</f>
        <v>9500</v>
      </c>
      <c r="E64" s="11"/>
      <c r="F64" s="11">
        <v>952500</v>
      </c>
      <c r="G64" s="11">
        <f>306000+6000</f>
        <v>312000</v>
      </c>
      <c r="H64" s="11"/>
      <c r="I64" s="11"/>
      <c r="J64" s="11"/>
      <c r="K64" s="11"/>
      <c r="L64" s="11"/>
      <c r="M64" s="11">
        <v>0</v>
      </c>
      <c r="N64" s="11">
        <f t="shared" si="1"/>
        <v>650000</v>
      </c>
      <c r="P64" s="259"/>
    </row>
    <row r="65" spans="1:16" ht="23.25">
      <c r="A65" s="1" t="s">
        <v>297</v>
      </c>
      <c r="B65" s="2" t="s">
        <v>167</v>
      </c>
      <c r="C65" s="11">
        <f>'มิ.ย.'!M65</f>
        <v>0</v>
      </c>
      <c r="D65" s="11">
        <f>'มิ.ย.'!N65</f>
        <v>138500</v>
      </c>
      <c r="E65" s="11"/>
      <c r="F65" s="11"/>
      <c r="G65" s="11">
        <f>64000+1500</f>
        <v>65500</v>
      </c>
      <c r="H65" s="11"/>
      <c r="I65" s="11"/>
      <c r="J65" s="11"/>
      <c r="K65" s="39"/>
      <c r="L65" s="39"/>
      <c r="M65" s="11">
        <v>0</v>
      </c>
      <c r="N65" s="11">
        <f t="shared" si="1"/>
        <v>73000</v>
      </c>
      <c r="P65" s="271"/>
    </row>
    <row r="66" spans="1:16" ht="23.25">
      <c r="A66" s="1" t="s">
        <v>120</v>
      </c>
      <c r="B66" s="2" t="s">
        <v>34</v>
      </c>
      <c r="C66" s="11">
        <f>'มิ.ย.'!M66</f>
        <v>0</v>
      </c>
      <c r="D66" s="11">
        <f>'มิ.ย.'!N66</f>
        <v>0</v>
      </c>
      <c r="E66" s="11"/>
      <c r="F66" s="11"/>
      <c r="G66" s="11">
        <v>84771</v>
      </c>
      <c r="H66" s="11">
        <v>84771</v>
      </c>
      <c r="I66" s="11"/>
      <c r="J66" s="11"/>
      <c r="K66" s="39"/>
      <c r="L66" s="39"/>
      <c r="M66" s="11">
        <f t="shared" si="0"/>
        <v>0</v>
      </c>
      <c r="N66" s="11">
        <f t="shared" si="1"/>
        <v>0</v>
      </c>
      <c r="P66" s="272"/>
    </row>
    <row r="67" spans="1:14" ht="23.25">
      <c r="A67" s="1" t="s">
        <v>165</v>
      </c>
      <c r="B67" s="2" t="s">
        <v>34</v>
      </c>
      <c r="C67" s="11">
        <f>'มิ.ย.'!M67</f>
        <v>0</v>
      </c>
      <c r="D67" s="11">
        <f>'มิ.ย.'!N67</f>
        <v>0</v>
      </c>
      <c r="E67" s="11"/>
      <c r="F67" s="11"/>
      <c r="G67" s="11">
        <v>45800</v>
      </c>
      <c r="H67" s="11">
        <v>45800</v>
      </c>
      <c r="I67" s="11"/>
      <c r="J67" s="11"/>
      <c r="K67" s="39"/>
      <c r="L67" s="39"/>
      <c r="M67" s="11">
        <f t="shared" si="0"/>
        <v>0</v>
      </c>
      <c r="N67" s="11">
        <v>0</v>
      </c>
    </row>
    <row r="68" spans="1:14" ht="23.25">
      <c r="A68" s="1" t="s">
        <v>121</v>
      </c>
      <c r="B68" s="40" t="s">
        <v>34</v>
      </c>
      <c r="C68" s="11">
        <f>'มิ.ย.'!M68</f>
        <v>0</v>
      </c>
      <c r="D68" s="11">
        <f>'มิ.ย.'!N68</f>
        <v>0</v>
      </c>
      <c r="E68" s="11"/>
      <c r="F68" s="11"/>
      <c r="G68" s="11"/>
      <c r="H68" s="11"/>
      <c r="I68" s="11"/>
      <c r="J68" s="11"/>
      <c r="K68" s="39"/>
      <c r="L68" s="39"/>
      <c r="M68" s="11">
        <v>0</v>
      </c>
      <c r="N68" s="11">
        <f t="shared" si="1"/>
        <v>0</v>
      </c>
    </row>
    <row r="69" spans="1:14" ht="23.25">
      <c r="A69" s="51" t="s">
        <v>94</v>
      </c>
      <c r="B69" s="40" t="s">
        <v>79</v>
      </c>
      <c r="C69" s="11">
        <f>'มิ.ย.'!M69</f>
        <v>0</v>
      </c>
      <c r="D69" s="11">
        <f>'มิ.ย.'!N69</f>
        <v>34488</v>
      </c>
      <c r="E69" s="11"/>
      <c r="F69" s="11"/>
      <c r="G69" s="11"/>
      <c r="H69" s="11"/>
      <c r="I69" s="11"/>
      <c r="J69" s="11"/>
      <c r="K69" s="39"/>
      <c r="L69" s="39"/>
      <c r="M69" s="11">
        <v>0</v>
      </c>
      <c r="N69" s="11">
        <f t="shared" si="1"/>
        <v>34488</v>
      </c>
    </row>
    <row r="70" spans="1:14" ht="23.25">
      <c r="A70" s="51" t="s">
        <v>95</v>
      </c>
      <c r="B70" s="40" t="s">
        <v>80</v>
      </c>
      <c r="C70" s="11">
        <f>'มิ.ย.'!M70</f>
        <v>0</v>
      </c>
      <c r="D70" s="11">
        <f>'มิ.ย.'!N70</f>
        <v>72410.6</v>
      </c>
      <c r="E70" s="11"/>
      <c r="F70" s="11"/>
      <c r="G70" s="11"/>
      <c r="H70" s="11"/>
      <c r="I70" s="11"/>
      <c r="J70" s="11"/>
      <c r="K70" s="39"/>
      <c r="L70" s="39"/>
      <c r="M70" s="11">
        <v>0</v>
      </c>
      <c r="N70" s="11">
        <f t="shared" si="1"/>
        <v>72410.6</v>
      </c>
    </row>
    <row r="71" spans="1:14" ht="23.25">
      <c r="A71" s="51" t="s">
        <v>96</v>
      </c>
      <c r="B71" s="40" t="s">
        <v>81</v>
      </c>
      <c r="C71" s="11">
        <f>'มิ.ย.'!M71</f>
        <v>0</v>
      </c>
      <c r="D71" s="11">
        <f>'มิ.ย.'!N71</f>
        <v>6053</v>
      </c>
      <c r="E71" s="11"/>
      <c r="F71" s="11"/>
      <c r="G71" s="11"/>
      <c r="H71" s="11"/>
      <c r="I71" s="11"/>
      <c r="J71" s="11"/>
      <c r="K71" s="39"/>
      <c r="L71" s="39"/>
      <c r="M71" s="11">
        <v>0</v>
      </c>
      <c r="N71" s="11">
        <f t="shared" si="1"/>
        <v>6053</v>
      </c>
    </row>
    <row r="72" spans="1:14" ht="23.25">
      <c r="A72" s="51" t="s">
        <v>164</v>
      </c>
      <c r="B72" s="40" t="s">
        <v>162</v>
      </c>
      <c r="C72" s="11">
        <f>'มิ.ย.'!M72</f>
        <v>0</v>
      </c>
      <c r="D72" s="11">
        <f>'มิ.ย.'!N72</f>
        <v>35970</v>
      </c>
      <c r="E72" s="11"/>
      <c r="F72" s="11"/>
      <c r="G72" s="11"/>
      <c r="H72" s="11"/>
      <c r="I72" s="11"/>
      <c r="J72" s="11">
        <v>3690</v>
      </c>
      <c r="K72" s="39"/>
      <c r="L72" s="39"/>
      <c r="M72" s="11">
        <v>0</v>
      </c>
      <c r="N72" s="11">
        <f t="shared" si="1"/>
        <v>39660</v>
      </c>
    </row>
    <row r="73" spans="1:14" ht="23.25">
      <c r="A73" s="51" t="s">
        <v>97</v>
      </c>
      <c r="B73" s="40" t="s">
        <v>83</v>
      </c>
      <c r="C73" s="11">
        <f>'มิ.ย.'!M73</f>
        <v>0</v>
      </c>
      <c r="D73" s="11">
        <f>'มิ.ย.'!N73</f>
        <v>3242152.1199999996</v>
      </c>
      <c r="E73" s="11"/>
      <c r="F73" s="11"/>
      <c r="G73" s="11"/>
      <c r="H73" s="11"/>
      <c r="I73" s="11"/>
      <c r="J73" s="11"/>
      <c r="K73" s="39"/>
      <c r="L73" s="39"/>
      <c r="M73" s="11">
        <v>0</v>
      </c>
      <c r="N73" s="11">
        <f t="shared" si="1"/>
        <v>3242152.1199999996</v>
      </c>
    </row>
    <row r="74" spans="1:14" ht="23.25">
      <c r="A74" s="51" t="s">
        <v>125</v>
      </c>
      <c r="B74" s="40" t="s">
        <v>160</v>
      </c>
      <c r="C74" s="11">
        <f>'มิ.ย.'!M74</f>
        <v>0</v>
      </c>
      <c r="D74" s="11">
        <f>'มิ.ย.'!N74</f>
        <v>1416984.3800000001</v>
      </c>
      <c r="E74" s="11"/>
      <c r="F74" s="11"/>
      <c r="G74" s="11"/>
      <c r="H74" s="11"/>
      <c r="I74" s="11"/>
      <c r="J74" s="11">
        <v>145460.04</v>
      </c>
      <c r="K74" s="39"/>
      <c r="L74" s="39"/>
      <c r="M74" s="11">
        <v>0</v>
      </c>
      <c r="N74" s="11">
        <f t="shared" si="1"/>
        <v>1562444.4200000002</v>
      </c>
    </row>
    <row r="75" spans="1:14" ht="23.25">
      <c r="A75" s="51" t="s">
        <v>123</v>
      </c>
      <c r="B75" s="40" t="s">
        <v>161</v>
      </c>
      <c r="C75" s="11">
        <f>'มิ.ย.'!M75</f>
        <v>0</v>
      </c>
      <c r="D75" s="11">
        <f>'มิ.ย.'!N75</f>
        <v>127662</v>
      </c>
      <c r="E75" s="11"/>
      <c r="F75" s="11"/>
      <c r="G75" s="11"/>
      <c r="H75" s="11"/>
      <c r="I75" s="11"/>
      <c r="J75" s="11"/>
      <c r="K75" s="39"/>
      <c r="L75" s="39"/>
      <c r="M75" s="11">
        <v>0</v>
      </c>
      <c r="N75" s="11">
        <f t="shared" si="1"/>
        <v>127662</v>
      </c>
    </row>
    <row r="76" spans="1:14" ht="23.25">
      <c r="A76" s="51" t="s">
        <v>98</v>
      </c>
      <c r="B76" s="40" t="s">
        <v>85</v>
      </c>
      <c r="C76" s="11">
        <f>'มิ.ย.'!M76</f>
        <v>0</v>
      </c>
      <c r="D76" s="11">
        <f>'มิ.ย.'!N76</f>
        <v>853326.23</v>
      </c>
      <c r="E76" s="11"/>
      <c r="F76" s="11"/>
      <c r="G76" s="11"/>
      <c r="H76" s="11"/>
      <c r="I76" s="11"/>
      <c r="J76" s="11">
        <v>94289.87</v>
      </c>
      <c r="K76" s="39"/>
      <c r="L76" s="39"/>
      <c r="M76" s="11">
        <v>0</v>
      </c>
      <c r="N76" s="11">
        <f t="shared" si="1"/>
        <v>947616.1</v>
      </c>
    </row>
    <row r="77" spans="1:14" ht="23.25">
      <c r="A77" s="51" t="s">
        <v>99</v>
      </c>
      <c r="B77" s="40" t="s">
        <v>86</v>
      </c>
      <c r="C77" s="11">
        <f>'มิ.ย.'!M77</f>
        <v>0</v>
      </c>
      <c r="D77" s="11">
        <f>'มิ.ย.'!N77</f>
        <v>2265901.52</v>
      </c>
      <c r="E77" s="11"/>
      <c r="F77" s="11"/>
      <c r="G77" s="11"/>
      <c r="H77" s="11"/>
      <c r="I77" s="11"/>
      <c r="J77" s="11">
        <v>255000.09</v>
      </c>
      <c r="K77" s="39"/>
      <c r="L77" s="39"/>
      <c r="M77" s="11">
        <v>0</v>
      </c>
      <c r="N77" s="11">
        <f t="shared" si="1"/>
        <v>2520901.61</v>
      </c>
    </row>
    <row r="78" spans="1:14" ht="23.25">
      <c r="A78" s="51" t="s">
        <v>100</v>
      </c>
      <c r="B78" s="40" t="s">
        <v>87</v>
      </c>
      <c r="C78" s="11">
        <f>'มิ.ย.'!M78</f>
        <v>0</v>
      </c>
      <c r="D78" s="11">
        <f>'มิ.ย.'!N78</f>
        <v>20931.02</v>
      </c>
      <c r="E78" s="11"/>
      <c r="F78" s="11"/>
      <c r="G78" s="11"/>
      <c r="H78" s="11"/>
      <c r="I78" s="11"/>
      <c r="J78" s="11"/>
      <c r="K78" s="39"/>
      <c r="L78" s="39"/>
      <c r="M78" s="11">
        <v>0</v>
      </c>
      <c r="N78" s="11">
        <f t="shared" si="1"/>
        <v>20931.02</v>
      </c>
    </row>
    <row r="79" spans="1:14" ht="23.25">
      <c r="A79" s="51" t="s">
        <v>293</v>
      </c>
      <c r="B79" s="40" t="s">
        <v>87</v>
      </c>
      <c r="C79" s="11">
        <f>'มิ.ย.'!M79</f>
        <v>0</v>
      </c>
      <c r="D79" s="11">
        <f>'มิ.ย.'!N79</f>
        <v>38301.61</v>
      </c>
      <c r="E79" s="11"/>
      <c r="F79" s="11"/>
      <c r="G79" s="11"/>
      <c r="H79" s="11"/>
      <c r="I79" s="11"/>
      <c r="J79" s="11"/>
      <c r="K79" s="39"/>
      <c r="L79" s="39"/>
      <c r="M79" s="11">
        <v>0</v>
      </c>
      <c r="N79" s="11">
        <f t="shared" si="1"/>
        <v>38301.61</v>
      </c>
    </row>
    <row r="80" spans="1:14" ht="23.25">
      <c r="A80" s="51" t="s">
        <v>280</v>
      </c>
      <c r="B80" s="40" t="s">
        <v>88</v>
      </c>
      <c r="C80" s="11">
        <f>'มิ.ย.'!M80</f>
        <v>0</v>
      </c>
      <c r="D80" s="11">
        <f>'มิ.ย.'!N80</f>
        <v>2.91</v>
      </c>
      <c r="E80" s="11"/>
      <c r="F80" s="11"/>
      <c r="G80" s="11"/>
      <c r="H80" s="11"/>
      <c r="I80" s="11"/>
      <c r="J80" s="11"/>
      <c r="K80" s="39"/>
      <c r="L80" s="39"/>
      <c r="M80" s="11">
        <v>0</v>
      </c>
      <c r="N80" s="11">
        <f t="shared" si="1"/>
        <v>2.91</v>
      </c>
    </row>
    <row r="81" spans="1:14" ht="23.25">
      <c r="A81" s="51" t="s">
        <v>124</v>
      </c>
      <c r="B81" s="40" t="s">
        <v>89</v>
      </c>
      <c r="C81" s="11">
        <f>'มิ.ย.'!M81</f>
        <v>0</v>
      </c>
      <c r="D81" s="11">
        <f>'มิ.ย.'!N81</f>
        <v>506345</v>
      </c>
      <c r="E81" s="11"/>
      <c r="F81" s="11"/>
      <c r="G81" s="11"/>
      <c r="H81" s="11"/>
      <c r="I81" s="11"/>
      <c r="J81" s="11"/>
      <c r="K81" s="39"/>
      <c r="L81" s="39"/>
      <c r="M81" s="11">
        <v>0</v>
      </c>
      <c r="N81" s="11">
        <f t="shared" si="1"/>
        <v>506345</v>
      </c>
    </row>
    <row r="82" spans="1:14" ht="23.25">
      <c r="A82" s="51" t="s">
        <v>132</v>
      </c>
      <c r="B82" s="40" t="s">
        <v>133</v>
      </c>
      <c r="C82" s="11">
        <f>'มิ.ย.'!M82</f>
        <v>0</v>
      </c>
      <c r="D82" s="11">
        <f>'มิ.ย.'!N82</f>
        <v>5000</v>
      </c>
      <c r="E82" s="11"/>
      <c r="F82" s="11"/>
      <c r="G82" s="11"/>
      <c r="H82" s="11"/>
      <c r="I82" s="11"/>
      <c r="J82" s="11"/>
      <c r="K82" s="39"/>
      <c r="L82" s="39"/>
      <c r="M82" s="11">
        <v>0</v>
      </c>
      <c r="N82" s="11">
        <f t="shared" si="1"/>
        <v>5000</v>
      </c>
    </row>
    <row r="83" spans="1:14" ht="23.25">
      <c r="A83" s="51" t="s">
        <v>294</v>
      </c>
      <c r="B83" s="40" t="s">
        <v>90</v>
      </c>
      <c r="C83" s="11">
        <f>'มิ.ย.'!M83</f>
        <v>0</v>
      </c>
      <c r="D83" s="11">
        <f>'มิ.ย.'!N83</f>
        <v>12905.42</v>
      </c>
      <c r="E83" s="11"/>
      <c r="F83" s="11"/>
      <c r="G83" s="11"/>
      <c r="H83" s="11"/>
      <c r="I83" s="11"/>
      <c r="J83" s="11"/>
      <c r="K83" s="39"/>
      <c r="L83" s="39"/>
      <c r="M83" s="11">
        <v>0</v>
      </c>
      <c r="N83" s="11">
        <f t="shared" si="1"/>
        <v>12905.42</v>
      </c>
    </row>
    <row r="84" spans="1:14" ht="23.25">
      <c r="A84" s="51" t="s">
        <v>295</v>
      </c>
      <c r="B84" s="40" t="s">
        <v>91</v>
      </c>
      <c r="C84" s="11">
        <f>'มิ.ย.'!M84</f>
        <v>0</v>
      </c>
      <c r="D84" s="11">
        <f>'มิ.ย.'!N84</f>
        <v>7000</v>
      </c>
      <c r="E84" s="11"/>
      <c r="F84" s="11"/>
      <c r="G84" s="11"/>
      <c r="H84" s="11"/>
      <c r="I84" s="11"/>
      <c r="J84" s="11">
        <v>900</v>
      </c>
      <c r="K84" s="39"/>
      <c r="L84" s="39"/>
      <c r="M84" s="11">
        <v>0</v>
      </c>
      <c r="N84" s="11">
        <f t="shared" si="1"/>
        <v>7900</v>
      </c>
    </row>
    <row r="85" spans="1:14" ht="23.25">
      <c r="A85" s="51" t="s">
        <v>104</v>
      </c>
      <c r="B85" s="40" t="s">
        <v>92</v>
      </c>
      <c r="C85" s="11">
        <f>'มิ.ย.'!M85</f>
        <v>0</v>
      </c>
      <c r="D85" s="11">
        <f>'มิ.ย.'!N85</f>
        <v>58508</v>
      </c>
      <c r="E85" s="11"/>
      <c r="F85" s="11"/>
      <c r="G85" s="11"/>
      <c r="H85" s="11"/>
      <c r="I85" s="11"/>
      <c r="J85" s="11">
        <v>2648</v>
      </c>
      <c r="K85" s="39"/>
      <c r="L85" s="39"/>
      <c r="M85" s="11">
        <v>0</v>
      </c>
      <c r="N85" s="11">
        <f t="shared" si="1"/>
        <v>61156</v>
      </c>
    </row>
    <row r="86" spans="1:14" ht="23.25">
      <c r="A86" s="51" t="s">
        <v>105</v>
      </c>
      <c r="B86" s="40" t="s">
        <v>93</v>
      </c>
      <c r="C86" s="11">
        <f>'มิ.ย.'!M86</f>
        <v>0</v>
      </c>
      <c r="D86" s="11">
        <f>'มิ.ย.'!N86</f>
        <v>10264971</v>
      </c>
      <c r="E86" s="11"/>
      <c r="F86" s="11"/>
      <c r="G86" s="11"/>
      <c r="H86" s="11"/>
      <c r="I86" s="11"/>
      <c r="J86" s="11"/>
      <c r="K86" s="39"/>
      <c r="L86" s="39"/>
      <c r="M86" s="11">
        <v>0</v>
      </c>
      <c r="N86" s="11">
        <f t="shared" si="1"/>
        <v>10264971</v>
      </c>
    </row>
    <row r="87" spans="1:14" ht="23.25">
      <c r="A87" s="1" t="s">
        <v>106</v>
      </c>
      <c r="B87" s="40" t="s">
        <v>133</v>
      </c>
      <c r="C87" s="11">
        <f>'มิ.ย.'!M87</f>
        <v>0</v>
      </c>
      <c r="D87" s="11">
        <f>'มิ.ย.'!N87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 t="shared" si="1"/>
        <v>53000</v>
      </c>
    </row>
    <row r="88" spans="1:14" ht="23.25">
      <c r="A88" s="51" t="s">
        <v>140</v>
      </c>
      <c r="B88" s="40" t="s">
        <v>159</v>
      </c>
      <c r="C88" s="11">
        <f>'มิ.ย.'!M88</f>
        <v>0</v>
      </c>
      <c r="D88" s="11">
        <f>'มิ.ย.'!N88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v>0</v>
      </c>
      <c r="N88" s="11">
        <f t="shared" si="1"/>
        <v>0</v>
      </c>
    </row>
    <row r="89" spans="1:14" ht="23.25">
      <c r="A89" s="1" t="s">
        <v>143</v>
      </c>
      <c r="B89" s="53"/>
      <c r="C89" s="11">
        <f>'มิ.ย.'!M89</f>
        <v>0</v>
      </c>
      <c r="D89" s="11">
        <f>'มิ.ย.'!N89</f>
        <v>0</v>
      </c>
      <c r="E89" s="39"/>
      <c r="F89" s="39"/>
      <c r="G89" s="39"/>
      <c r="H89" s="39"/>
      <c r="I89" s="39"/>
      <c r="J89" s="39"/>
      <c r="K89" s="39"/>
      <c r="L89" s="39"/>
      <c r="M89" s="11">
        <v>0</v>
      </c>
      <c r="N89" s="11">
        <f t="shared" si="1"/>
        <v>0</v>
      </c>
    </row>
    <row r="90" spans="1:14" ht="23.25">
      <c r="A90" s="282" t="s">
        <v>307</v>
      </c>
      <c r="B90" s="283" t="s">
        <v>168</v>
      </c>
      <c r="C90" s="11">
        <f>'มิ.ย.'!M90</f>
        <v>0</v>
      </c>
      <c r="D90" s="11">
        <f>'มิ.ย.'!N90</f>
        <v>0</v>
      </c>
      <c r="E90" s="39"/>
      <c r="F90" s="39"/>
      <c r="G90" s="39"/>
      <c r="H90" s="39"/>
      <c r="I90" s="39"/>
      <c r="J90" s="39"/>
      <c r="K90" s="39"/>
      <c r="L90" s="39"/>
      <c r="M90" s="11"/>
      <c r="N90" s="11"/>
    </row>
    <row r="91" spans="1:14" ht="23.25">
      <c r="A91" s="285" t="s">
        <v>308</v>
      </c>
      <c r="B91" s="8" t="s">
        <v>168</v>
      </c>
      <c r="C91" s="11">
        <f>'มิ.ย.'!M91</f>
        <v>0</v>
      </c>
      <c r="D91" s="11">
        <f>'มิ.ย.'!N91</f>
        <v>53500</v>
      </c>
      <c r="E91" s="13"/>
      <c r="F91" s="13"/>
      <c r="G91" s="13"/>
      <c r="H91" s="13"/>
      <c r="I91" s="13"/>
      <c r="J91" s="13"/>
      <c r="K91" s="39"/>
      <c r="L91" s="39"/>
      <c r="M91" s="11">
        <v>0</v>
      </c>
      <c r="N91" s="11">
        <f t="shared" si="1"/>
        <v>53500</v>
      </c>
    </row>
    <row r="92" spans="1:63" ht="24" thickBot="1">
      <c r="A92"/>
      <c r="B92" s="3"/>
      <c r="C92" s="42">
        <f>SUM(C6:C91)</f>
        <v>26117563.78</v>
      </c>
      <c r="D92" s="42">
        <f>SUM(D6:D91)</f>
        <v>26117563.78</v>
      </c>
      <c r="E92" s="42">
        <f>SUM(E6:E91)</f>
        <v>3457052.58</v>
      </c>
      <c r="F92" s="42">
        <f>SUM(F6:F91)</f>
        <v>3457052.58</v>
      </c>
      <c r="G92" s="42">
        <f aca="true" t="shared" si="2" ref="G92:N92">SUM(G6:G91)</f>
        <v>3714408.7</v>
      </c>
      <c r="H92" s="42">
        <f t="shared" si="2"/>
        <v>3714408.7</v>
      </c>
      <c r="I92" s="42">
        <f t="shared" si="2"/>
        <v>501988</v>
      </c>
      <c r="J92" s="42">
        <f t="shared" si="2"/>
        <v>501988</v>
      </c>
      <c r="K92" s="42">
        <f t="shared" si="2"/>
        <v>3328919.89</v>
      </c>
      <c r="L92" s="42">
        <f t="shared" si="2"/>
        <v>3328919.89</v>
      </c>
      <c r="M92" s="42">
        <f t="shared" si="2"/>
        <v>27184881.63</v>
      </c>
      <c r="N92" s="42">
        <f t="shared" si="2"/>
        <v>27184881.629999995</v>
      </c>
      <c r="O92" s="41"/>
      <c r="BK92" s="5"/>
    </row>
    <row r="93" spans="1:63" ht="24" thickTop="1">
      <c r="A93"/>
      <c r="B93" s="3"/>
      <c r="C93" s="4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J92-I92</f>
        <v>0</v>
      </c>
      <c r="K93" s="15"/>
      <c r="L93" s="15">
        <f>L92-K92</f>
        <v>0</v>
      </c>
      <c r="M93" s="15"/>
      <c r="N93" s="15">
        <f>M92-N92</f>
        <v>0</v>
      </c>
      <c r="O93" s="41"/>
      <c r="BK93" s="5"/>
    </row>
    <row r="94" spans="1:62" ht="23.25">
      <c r="A94" s="16"/>
      <c r="B94" s="309"/>
      <c r="C94" s="309"/>
      <c r="D94" s="309"/>
      <c r="E94" s="309"/>
      <c r="F94" s="309"/>
      <c r="G94" s="309"/>
      <c r="H94" s="16"/>
      <c r="I94" s="16"/>
      <c r="J94" s="16"/>
      <c r="K94" s="16"/>
      <c r="L94" s="16"/>
      <c r="M94" s="16"/>
      <c r="N94" s="16"/>
      <c r="BB94"/>
      <c r="BC94"/>
      <c r="BD94"/>
      <c r="BE94"/>
      <c r="BF94"/>
      <c r="BG94"/>
      <c r="BH94"/>
      <c r="BI94"/>
      <c r="BJ94"/>
    </row>
    <row r="95" spans="1:62" ht="23.25">
      <c r="A95" s="3"/>
      <c r="B95" s="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BB95"/>
      <c r="BC95"/>
      <c r="BD95"/>
      <c r="BE95"/>
      <c r="BF95"/>
      <c r="BG95"/>
      <c r="BH95"/>
      <c r="BI95"/>
      <c r="BJ95"/>
    </row>
    <row r="96" spans="1:62" ht="23.25">
      <c r="A96" s="16"/>
      <c r="B96" s="309"/>
      <c r="C96" s="309"/>
      <c r="D96" s="309"/>
      <c r="E96" s="309"/>
      <c r="F96" s="309"/>
      <c r="G96" s="309"/>
      <c r="H96" s="16"/>
      <c r="I96" s="309"/>
      <c r="J96" s="309"/>
      <c r="K96" s="309"/>
      <c r="L96" s="16"/>
      <c r="M96" s="16"/>
      <c r="N96" s="16"/>
      <c r="BB96"/>
      <c r="BC96"/>
      <c r="BD96"/>
      <c r="BE96"/>
      <c r="BF96"/>
      <c r="BG96"/>
      <c r="BH96"/>
      <c r="BI96"/>
      <c r="BJ96"/>
    </row>
    <row r="97" spans="1:62" ht="22.5" customHeight="1">
      <c r="A97" s="16"/>
      <c r="B97" s="309"/>
      <c r="C97" s="309"/>
      <c r="D97" s="309"/>
      <c r="E97" s="309"/>
      <c r="F97" s="309"/>
      <c r="G97" s="309"/>
      <c r="H97" s="16"/>
      <c r="I97" s="309"/>
      <c r="J97" s="309"/>
      <c r="K97" s="309"/>
      <c r="L97" s="16"/>
      <c r="M97" s="16"/>
      <c r="N97" s="16"/>
      <c r="BB97"/>
      <c r="BC97"/>
      <c r="BD97"/>
      <c r="BE97"/>
      <c r="BF97"/>
      <c r="BG97"/>
      <c r="BH97"/>
      <c r="BI97"/>
      <c r="BJ97"/>
    </row>
    <row r="98" spans="1:63" ht="23.25">
      <c r="A98"/>
      <c r="B98" s="3"/>
      <c r="C98" s="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BK98" s="5"/>
    </row>
    <row r="99" spans="1:63" ht="23.25">
      <c r="A99"/>
      <c r="B99" s="3"/>
      <c r="C99" s="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BK99" s="5"/>
    </row>
    <row r="100" spans="1:63" ht="23.25">
      <c r="A100"/>
      <c r="B100" s="3"/>
      <c r="C100" s="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BK100" s="5"/>
    </row>
    <row r="101" spans="1:63" ht="23.25">
      <c r="A101"/>
      <c r="B101" s="3"/>
      <c r="C101" s="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BK101" s="5"/>
    </row>
    <row r="102" spans="1:63" ht="23.25">
      <c r="A102"/>
      <c r="B102" s="3"/>
      <c r="C102" s="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BK102" s="5"/>
    </row>
    <row r="103" spans="1:63" ht="23.25">
      <c r="A103"/>
      <c r="B103" s="3"/>
      <c r="C103" s="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BK103" s="5"/>
    </row>
    <row r="104" spans="1:63" ht="23.25">
      <c r="A104"/>
      <c r="B104" s="3"/>
      <c r="C104" s="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BK104" s="5"/>
    </row>
    <row r="105" spans="1:63" ht="23.25">
      <c r="A105"/>
      <c r="B105" s="3"/>
      <c r="C105" s="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BK105" s="5"/>
    </row>
    <row r="106" spans="1:63" ht="23.25">
      <c r="A106"/>
      <c r="B106" s="3"/>
      <c r="C106" s="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BK106" s="5"/>
    </row>
  </sheetData>
  <sheetProtection/>
  <mergeCells count="17">
    <mergeCell ref="I96:K96"/>
    <mergeCell ref="B97:D97"/>
    <mergeCell ref="E97:G97"/>
    <mergeCell ref="I97:K97"/>
    <mergeCell ref="B94:D94"/>
    <mergeCell ref="E94:G94"/>
    <mergeCell ref="B96:D96"/>
    <mergeCell ref="E96:G96"/>
    <mergeCell ref="A1:N1"/>
    <mergeCell ref="A2:N2"/>
    <mergeCell ref="K4:L4"/>
    <mergeCell ref="M4:N4"/>
    <mergeCell ref="A4:A5"/>
    <mergeCell ref="C4:D4"/>
    <mergeCell ref="E4:F4"/>
    <mergeCell ref="G4:H4"/>
    <mergeCell ref="I4:J4"/>
  </mergeCells>
  <printOptions/>
  <pageMargins left="0.27" right="0" top="0.5905511811023623" bottom="0.3937007874015748" header="0" footer="0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107"/>
  <sheetViews>
    <sheetView zoomScalePageLayoutView="0" workbookViewId="0" topLeftCell="A1">
      <pane xSplit="2" ySplit="5" topLeftCell="E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0" sqref="A40:A41"/>
    </sheetView>
  </sheetViews>
  <sheetFormatPr defaultColWidth="9.140625" defaultRowHeight="12.75"/>
  <cols>
    <col min="1" max="1" width="55.7109375" style="5" customWidth="1"/>
    <col min="2" max="2" width="7.7109375" style="5" customWidth="1"/>
    <col min="3" max="3" width="13.57421875" style="9" customWidth="1"/>
    <col min="4" max="13" width="13.7109375" style="9" customWidth="1"/>
    <col min="14" max="14" width="14.8515625" style="9" customWidth="1"/>
    <col min="15" max="67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275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14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3.25">
      <c r="A4" s="307" t="s">
        <v>0</v>
      </c>
      <c r="B4" s="30" t="s">
        <v>77</v>
      </c>
      <c r="C4" s="305" t="s">
        <v>290</v>
      </c>
      <c r="D4" s="306"/>
      <c r="E4" s="305" t="s">
        <v>1</v>
      </c>
      <c r="F4" s="306"/>
      <c r="G4" s="305" t="s">
        <v>2</v>
      </c>
      <c r="H4" s="306"/>
      <c r="I4" s="305" t="s">
        <v>36</v>
      </c>
      <c r="J4" s="306"/>
      <c r="K4" s="305" t="s">
        <v>37</v>
      </c>
      <c r="L4" s="306"/>
      <c r="M4" s="305" t="s">
        <v>38</v>
      </c>
      <c r="N4" s="306"/>
    </row>
    <row r="5" spans="1:14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</row>
    <row r="6" spans="1:14" ht="23.25">
      <c r="A6" s="6" t="s">
        <v>51</v>
      </c>
      <c r="B6" s="7" t="s">
        <v>5</v>
      </c>
      <c r="C6" s="32">
        <f>'ก.ค.'!M6</f>
        <v>0</v>
      </c>
      <c r="D6" s="32">
        <f>'ก.ค.'!N6</f>
        <v>0</v>
      </c>
      <c r="E6" s="10"/>
      <c r="F6" s="10"/>
      <c r="G6" s="10"/>
      <c r="H6" s="10"/>
      <c r="I6" s="10"/>
      <c r="J6" s="10"/>
      <c r="K6" s="10"/>
      <c r="L6" s="10"/>
      <c r="M6" s="11">
        <f aca="true" t="shared" si="0" ref="M6:M67">SUM(C6+E6+G6+I6+K6)-(D6+F6+H6+J6+L6)</f>
        <v>0</v>
      </c>
      <c r="N6" s="11">
        <v>0</v>
      </c>
    </row>
    <row r="7" spans="1:16" ht="23.25">
      <c r="A7" s="1" t="s">
        <v>116</v>
      </c>
      <c r="B7" s="2" t="s">
        <v>6</v>
      </c>
      <c r="C7" s="11">
        <f>'ก.ค.'!M7</f>
        <v>2091829.58</v>
      </c>
      <c r="D7" s="11">
        <f>'ก.ค.'!N7</f>
        <v>0</v>
      </c>
      <c r="E7" s="12"/>
      <c r="F7" s="12">
        <v>1631846.69</v>
      </c>
      <c r="G7" s="12"/>
      <c r="H7" s="12">
        <v>375460</v>
      </c>
      <c r="I7" s="12"/>
      <c r="J7" s="12"/>
      <c r="K7" s="12"/>
      <c r="L7" s="268"/>
      <c r="M7" s="11">
        <f t="shared" si="0"/>
        <v>84522.89000000013</v>
      </c>
      <c r="N7" s="11">
        <v>0</v>
      </c>
      <c r="O7" s="269">
        <f>84522.89-M7</f>
        <v>-1.3096723705530167E-10</v>
      </c>
      <c r="P7" s="267"/>
    </row>
    <row r="8" spans="1:16" ht="23.25">
      <c r="A8" s="1" t="s">
        <v>130</v>
      </c>
      <c r="B8" s="2" t="s">
        <v>7</v>
      </c>
      <c r="C8" s="11">
        <f>'ก.ค.'!M8</f>
        <v>571553.6</v>
      </c>
      <c r="D8" s="11">
        <f>'ก.ค.'!N8</f>
        <v>0</v>
      </c>
      <c r="E8" s="11"/>
      <c r="F8" s="11"/>
      <c r="G8" s="11"/>
      <c r="H8" s="11"/>
      <c r="I8" s="11"/>
      <c r="J8" s="11"/>
      <c r="K8" s="11"/>
      <c r="L8" s="11"/>
      <c r="M8" s="11">
        <f t="shared" si="0"/>
        <v>571553.6</v>
      </c>
      <c r="N8" s="11">
        <v>0</v>
      </c>
      <c r="O8" s="52">
        <f>571553.6-M8</f>
        <v>0</v>
      </c>
      <c r="P8" s="52"/>
    </row>
    <row r="9" spans="1:15" ht="23.25">
      <c r="A9" s="1" t="s">
        <v>134</v>
      </c>
      <c r="B9" s="2" t="s">
        <v>7</v>
      </c>
      <c r="C9" s="11">
        <f>'ก.ค.'!M9</f>
        <v>0</v>
      </c>
      <c r="D9" s="11">
        <f>'ก.ค.'!N9</f>
        <v>0</v>
      </c>
      <c r="E9" s="11"/>
      <c r="F9" s="11"/>
      <c r="G9" s="11"/>
      <c r="H9" s="11">
        <v>1813904.95</v>
      </c>
      <c r="I9" s="11"/>
      <c r="J9" s="11"/>
      <c r="K9" s="11">
        <v>1813904.95</v>
      </c>
      <c r="L9" s="11"/>
      <c r="M9" s="11">
        <v>0</v>
      </c>
      <c r="N9" s="11">
        <f>SUM(D9+F9+H9+J9+L9)-(C9+E9+G9+I9+K9)</f>
        <v>0</v>
      </c>
      <c r="O9" s="52">
        <f>H8-K8</f>
        <v>0</v>
      </c>
    </row>
    <row r="10" spans="1:15" ht="23.25">
      <c r="A10" s="1" t="s">
        <v>117</v>
      </c>
      <c r="B10" s="2" t="s">
        <v>8</v>
      </c>
      <c r="C10" s="11">
        <f>'ก.ค.'!M10</f>
        <v>8344232.289999999</v>
      </c>
      <c r="D10" s="11">
        <f>'ก.ค.'!N10</f>
        <v>0</v>
      </c>
      <c r="E10" s="11">
        <v>3437075.8</v>
      </c>
      <c r="F10" s="11"/>
      <c r="G10" s="11"/>
      <c r="H10" s="11"/>
      <c r="I10" s="11"/>
      <c r="J10" s="11"/>
      <c r="K10" s="11"/>
      <c r="L10" s="11">
        <v>1813904.95</v>
      </c>
      <c r="M10" s="11">
        <f t="shared" si="0"/>
        <v>9967403.14</v>
      </c>
      <c r="N10" s="11">
        <v>0</v>
      </c>
      <c r="O10" s="52">
        <f>10755419.23-206679-84771-M10</f>
        <v>496566.08999999985</v>
      </c>
    </row>
    <row r="11" spans="1:16" ht="23.25">
      <c r="A11" s="1" t="s">
        <v>128</v>
      </c>
      <c r="B11" s="2" t="s">
        <v>8</v>
      </c>
      <c r="C11" s="11">
        <f>'ก.ค.'!M11</f>
        <v>1228096.77</v>
      </c>
      <c r="D11" s="11">
        <f>'ก.ค.'!N11</f>
        <v>0</v>
      </c>
      <c r="E11" s="11"/>
      <c r="F11" s="11"/>
      <c r="G11" s="11"/>
      <c r="H11" s="11"/>
      <c r="I11" s="11"/>
      <c r="J11" s="11"/>
      <c r="K11" s="11"/>
      <c r="L11" s="11"/>
      <c r="M11" s="11">
        <f t="shared" si="0"/>
        <v>1228096.77</v>
      </c>
      <c r="N11" s="11">
        <v>0</v>
      </c>
      <c r="O11" s="52"/>
      <c r="P11" s="52"/>
    </row>
    <row r="12" spans="1:16" ht="23.25">
      <c r="A12" s="1" t="s">
        <v>131</v>
      </c>
      <c r="B12" s="2" t="s">
        <v>8</v>
      </c>
      <c r="C12" s="11">
        <f>'ก.ค.'!M12</f>
        <v>1621.45</v>
      </c>
      <c r="D12" s="11">
        <f>'ก.ค.'!N12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1621.45</v>
      </c>
      <c r="N12" s="11">
        <v>0</v>
      </c>
      <c r="O12" s="52"/>
      <c r="P12" s="52"/>
    </row>
    <row r="13" spans="1:16" ht="23.25">
      <c r="A13" s="1" t="s">
        <v>39</v>
      </c>
      <c r="B13" s="2" t="s">
        <v>40</v>
      </c>
      <c r="C13" s="11">
        <f>'ก.ค.'!M13</f>
        <v>65945</v>
      </c>
      <c r="D13" s="11">
        <f>'ก.ค.'!N13</f>
        <v>0</v>
      </c>
      <c r="E13" s="11"/>
      <c r="F13" s="11"/>
      <c r="G13" s="11">
        <v>231200</v>
      </c>
      <c r="H13" s="11"/>
      <c r="I13" s="11"/>
      <c r="J13" s="11"/>
      <c r="K13" s="11"/>
      <c r="L13" s="11">
        <v>132380</v>
      </c>
      <c r="M13" s="11">
        <f t="shared" si="0"/>
        <v>164765</v>
      </c>
      <c r="N13" s="11">
        <v>0</v>
      </c>
      <c r="O13" s="269"/>
      <c r="P13" s="279">
        <v>30000</v>
      </c>
    </row>
    <row r="14" spans="1:16" ht="23.25">
      <c r="A14" s="1" t="s">
        <v>110</v>
      </c>
      <c r="B14" s="2" t="s">
        <v>111</v>
      </c>
      <c r="C14" s="11">
        <f>'ก.ค.'!M14</f>
        <v>0</v>
      </c>
      <c r="D14" s="11">
        <f>'ก.ค.'!N14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  <c r="O14" s="269">
        <f>24000+90500+4030+4700+11630+88500+7840</f>
        <v>231200</v>
      </c>
      <c r="P14" s="279">
        <f>2000+295+500</f>
        <v>2795</v>
      </c>
    </row>
    <row r="15" spans="1:16" ht="23.25">
      <c r="A15" s="1" t="s">
        <v>52</v>
      </c>
      <c r="B15" s="2" t="s">
        <v>9</v>
      </c>
      <c r="C15" s="11">
        <f>'ก.ค.'!M15</f>
        <v>364787</v>
      </c>
      <c r="D15" s="11">
        <f>'ก.ค.'!N15</f>
        <v>0</v>
      </c>
      <c r="E15" s="11"/>
      <c r="F15" s="11"/>
      <c r="G15" s="11">
        <v>32296</v>
      </c>
      <c r="H15" s="11"/>
      <c r="I15" s="11"/>
      <c r="J15" s="11"/>
      <c r="K15" s="11"/>
      <c r="L15" s="11"/>
      <c r="M15" s="11">
        <f t="shared" si="0"/>
        <v>397083</v>
      </c>
      <c r="N15" s="11">
        <v>0</v>
      </c>
      <c r="O15" s="269">
        <f>10400+18720+4030+90500+4030+4700</f>
        <v>132380</v>
      </c>
      <c r="P15" s="9">
        <v>24000</v>
      </c>
    </row>
    <row r="16" spans="1:16" ht="23.25">
      <c r="A16" s="6" t="s">
        <v>10</v>
      </c>
      <c r="B16" s="7" t="s">
        <v>11</v>
      </c>
      <c r="C16" s="11">
        <f>'ก.ค.'!M16</f>
        <v>2264675</v>
      </c>
      <c r="D16" s="11">
        <f>'ก.ค.'!N16</f>
        <v>0</v>
      </c>
      <c r="E16" s="11"/>
      <c r="F16" s="11"/>
      <c r="G16" s="11">
        <v>226780</v>
      </c>
      <c r="H16" s="11"/>
      <c r="I16" s="11"/>
      <c r="J16" s="11"/>
      <c r="K16" s="11"/>
      <c r="L16" s="11"/>
      <c r="M16" s="11">
        <f t="shared" si="0"/>
        <v>2491455</v>
      </c>
      <c r="N16" s="11">
        <v>0</v>
      </c>
      <c r="O16" s="269">
        <f>O14-O15</f>
        <v>98820</v>
      </c>
      <c r="P16" s="9">
        <v>11630</v>
      </c>
    </row>
    <row r="17" spans="1:16" ht="23.25">
      <c r="A17" s="1" t="s">
        <v>12</v>
      </c>
      <c r="B17" s="2" t="s">
        <v>13</v>
      </c>
      <c r="C17" s="11">
        <f>'ก.ค.'!M17</f>
        <v>0</v>
      </c>
      <c r="D17" s="11">
        <f>'ก.ค.'!N17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f aca="true" t="shared" si="1" ref="N17:N71">SUM(D17+F17+H17+J17+L17)-(C17+E17+G17+I17+K17)</f>
        <v>0</v>
      </c>
      <c r="O17" s="74"/>
      <c r="P17" s="9">
        <v>88500</v>
      </c>
    </row>
    <row r="18" spans="1:16" ht="23.25">
      <c r="A18" s="1" t="s">
        <v>14</v>
      </c>
      <c r="B18" s="2" t="s">
        <v>15</v>
      </c>
      <c r="C18" s="11">
        <f>'ก.ค.'!M18</f>
        <v>1357400</v>
      </c>
      <c r="D18" s="11">
        <f>'ก.ค.'!N18</f>
        <v>0</v>
      </c>
      <c r="E18" s="11"/>
      <c r="F18" s="11"/>
      <c r="G18" s="11">
        <v>135740</v>
      </c>
      <c r="H18" s="11"/>
      <c r="I18" s="11"/>
      <c r="J18" s="11"/>
      <c r="K18" s="11"/>
      <c r="L18" s="11"/>
      <c r="M18" s="11">
        <f t="shared" si="0"/>
        <v>1493140</v>
      </c>
      <c r="N18" s="11">
        <v>0</v>
      </c>
      <c r="O18" s="52">
        <f>P15+P16+P17+P18</f>
        <v>131970</v>
      </c>
      <c r="P18" s="9">
        <v>7840</v>
      </c>
    </row>
    <row r="19" spans="1:16" ht="23.25">
      <c r="A19" s="1" t="s">
        <v>16</v>
      </c>
      <c r="B19" s="2" t="s">
        <v>17</v>
      </c>
      <c r="C19" s="11">
        <f>'ก.ค.'!M19</f>
        <v>2787793</v>
      </c>
      <c r="D19" s="11">
        <f>'ก.ค.'!N19</f>
        <v>0</v>
      </c>
      <c r="E19" s="11"/>
      <c r="F19" s="11"/>
      <c r="G19" s="11">
        <v>265295</v>
      </c>
      <c r="H19" s="11"/>
      <c r="I19" s="11"/>
      <c r="J19" s="11"/>
      <c r="K19" s="11"/>
      <c r="L19" s="11"/>
      <c r="M19" s="11">
        <f t="shared" si="0"/>
        <v>3053088</v>
      </c>
      <c r="N19" s="11">
        <v>0</v>
      </c>
      <c r="O19" s="52"/>
      <c r="P19" s="52">
        <f>SUM(P13:P18)</f>
        <v>164765</v>
      </c>
    </row>
    <row r="20" spans="1:14" ht="23.25">
      <c r="A20" s="1" t="s">
        <v>18</v>
      </c>
      <c r="B20" s="2" t="s">
        <v>19</v>
      </c>
      <c r="C20" s="11">
        <f>'ก.ค.'!M20</f>
        <v>3355016.64</v>
      </c>
      <c r="D20" s="11">
        <f>'ก.ค.'!N20</f>
        <v>0</v>
      </c>
      <c r="E20" s="11"/>
      <c r="F20" s="11"/>
      <c r="G20" s="11">
        <v>108525</v>
      </c>
      <c r="H20" s="11"/>
      <c r="I20" s="11"/>
      <c r="J20" s="11"/>
      <c r="K20" s="11">
        <v>132380</v>
      </c>
      <c r="L20" s="11"/>
      <c r="M20" s="11">
        <f t="shared" si="0"/>
        <v>3595921.64</v>
      </c>
      <c r="N20" s="11">
        <v>0</v>
      </c>
    </row>
    <row r="21" spans="1:14" ht="23.25">
      <c r="A21" s="1" t="s">
        <v>20</v>
      </c>
      <c r="B21" s="2" t="s">
        <v>21</v>
      </c>
      <c r="C21" s="11">
        <f>'ก.ค.'!M21</f>
        <v>1518972.45</v>
      </c>
      <c r="D21" s="11">
        <f>'ก.ค.'!N21</f>
        <v>0</v>
      </c>
      <c r="E21" s="12"/>
      <c r="F21" s="12"/>
      <c r="G21" s="12">
        <v>167380</v>
      </c>
      <c r="H21" s="12"/>
      <c r="I21" s="12"/>
      <c r="J21" s="12"/>
      <c r="K21" s="12"/>
      <c r="L21" s="12"/>
      <c r="M21" s="11">
        <f t="shared" si="0"/>
        <v>1686352.45</v>
      </c>
      <c r="N21" s="11">
        <v>0</v>
      </c>
    </row>
    <row r="22" spans="1:14" ht="23.25">
      <c r="A22" s="1" t="s">
        <v>22</v>
      </c>
      <c r="B22" s="2" t="s">
        <v>23</v>
      </c>
      <c r="C22" s="11">
        <f>'ก.ค.'!M22</f>
        <v>113823.85</v>
      </c>
      <c r="D22" s="11">
        <f>'ก.ค.'!N22</f>
        <v>0</v>
      </c>
      <c r="E22" s="11"/>
      <c r="F22" s="11"/>
      <c r="G22" s="11">
        <v>11535.41</v>
      </c>
      <c r="H22" s="11"/>
      <c r="I22" s="11"/>
      <c r="J22" s="11"/>
      <c r="K22" s="11"/>
      <c r="L22" s="11"/>
      <c r="M22" s="11">
        <f t="shared" si="0"/>
        <v>125359.26000000001</v>
      </c>
      <c r="N22" s="11">
        <v>0</v>
      </c>
    </row>
    <row r="23" spans="1:16" ht="23.25">
      <c r="A23" s="1" t="s">
        <v>24</v>
      </c>
      <c r="B23" s="2" t="s">
        <v>25</v>
      </c>
      <c r="C23" s="11">
        <f>'ก.ค.'!M23</f>
        <v>2507000</v>
      </c>
      <c r="D23" s="11">
        <f>'ก.ค.'!N23</f>
        <v>0</v>
      </c>
      <c r="E23" s="11"/>
      <c r="F23" s="11"/>
      <c r="G23" s="11">
        <v>10000</v>
      </c>
      <c r="H23" s="11"/>
      <c r="I23" s="11"/>
      <c r="J23" s="11"/>
      <c r="K23" s="11"/>
      <c r="L23" s="11"/>
      <c r="M23" s="11">
        <f t="shared" si="0"/>
        <v>2517000</v>
      </c>
      <c r="N23" s="11">
        <v>0</v>
      </c>
      <c r="P23" s="52"/>
    </row>
    <row r="24" spans="1:14" ht="23.25">
      <c r="A24" s="1" t="s">
        <v>26</v>
      </c>
      <c r="B24" s="2" t="s">
        <v>27</v>
      </c>
      <c r="C24" s="11">
        <f>'ก.ค.'!M24</f>
        <v>77596</v>
      </c>
      <c r="D24" s="11">
        <f>'ก.ค.'!N24</f>
        <v>0</v>
      </c>
      <c r="E24" s="11"/>
      <c r="F24" s="11"/>
      <c r="G24" s="11">
        <v>52500</v>
      </c>
      <c r="H24" s="11"/>
      <c r="I24" s="11"/>
      <c r="J24" s="11"/>
      <c r="K24" s="11"/>
      <c r="L24" s="11"/>
      <c r="M24" s="11">
        <f t="shared" si="0"/>
        <v>130096</v>
      </c>
      <c r="N24" s="11">
        <v>0</v>
      </c>
    </row>
    <row r="25" spans="1:14" ht="23.25">
      <c r="A25" s="1" t="s">
        <v>28</v>
      </c>
      <c r="B25" s="2" t="s">
        <v>29</v>
      </c>
      <c r="C25" s="11">
        <f>'ก.ค.'!M25</f>
        <v>95000</v>
      </c>
      <c r="D25" s="11">
        <f>'ก.ค.'!N25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95000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'ก.ค.'!M26</f>
        <v>54000</v>
      </c>
      <c r="D26" s="11">
        <f>'ก.ค.'!N26</f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54000</v>
      </c>
      <c r="N26" s="11">
        <v>0</v>
      </c>
    </row>
    <row r="27" spans="1:14" ht="23.25">
      <c r="A27" s="1" t="s">
        <v>41</v>
      </c>
      <c r="B27" s="2" t="s">
        <v>42</v>
      </c>
      <c r="C27" s="11">
        <f>'ก.ค.'!M27</f>
        <v>0</v>
      </c>
      <c r="D27" s="11">
        <f>'ก.ค.'!N27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v>0</v>
      </c>
      <c r="N27" s="11">
        <f t="shared" si="1"/>
        <v>0</v>
      </c>
    </row>
    <row r="28" spans="1:15" ht="23.25">
      <c r="A28" s="1" t="s">
        <v>44</v>
      </c>
      <c r="B28" s="2" t="s">
        <v>30</v>
      </c>
      <c r="C28" s="11">
        <f>'ก.ค.'!M28</f>
        <v>0</v>
      </c>
      <c r="D28" s="11">
        <f>'ก.ค.'!N28</f>
        <v>2875247.9099999997</v>
      </c>
      <c r="E28" s="11"/>
      <c r="F28" s="11">
        <v>790</v>
      </c>
      <c r="G28" s="11">
        <v>60000</v>
      </c>
      <c r="H28" s="11"/>
      <c r="I28" s="11"/>
      <c r="J28" s="11"/>
      <c r="K28" s="11">
        <v>75200</v>
      </c>
      <c r="L28" s="11"/>
      <c r="M28" s="11">
        <v>0</v>
      </c>
      <c r="N28" s="11">
        <f t="shared" si="1"/>
        <v>2740837.9099999997</v>
      </c>
      <c r="O28" s="52"/>
    </row>
    <row r="29" spans="1:14" ht="23.25">
      <c r="A29" s="1" t="s">
        <v>45</v>
      </c>
      <c r="B29" s="2" t="s">
        <v>43</v>
      </c>
      <c r="C29" s="11">
        <f>'ก.ค.'!M29</f>
        <v>0</v>
      </c>
      <c r="D29" s="11">
        <f>'ก.ค.'!N29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53</v>
      </c>
      <c r="B30" s="2" t="s">
        <v>31</v>
      </c>
      <c r="C30" s="11">
        <f>'ก.ค.'!M30</f>
        <v>75200</v>
      </c>
      <c r="D30" s="11">
        <f>'ก.ค.'!N30</f>
        <v>0</v>
      </c>
      <c r="E30" s="11"/>
      <c r="F30" s="11"/>
      <c r="G30" s="11"/>
      <c r="H30" s="11"/>
      <c r="I30" s="11"/>
      <c r="J30" s="11"/>
      <c r="K30" s="11"/>
      <c r="L30" s="11">
        <v>75200</v>
      </c>
      <c r="M30" s="11">
        <f t="shared" si="0"/>
        <v>0</v>
      </c>
      <c r="N30" s="11">
        <v>0</v>
      </c>
    </row>
    <row r="31" spans="1:14" ht="23.25">
      <c r="A31" s="1" t="s">
        <v>32</v>
      </c>
      <c r="B31" s="2" t="s">
        <v>33</v>
      </c>
      <c r="C31" s="11">
        <f>'ก.ค.'!M31</f>
        <v>0</v>
      </c>
      <c r="D31" s="11">
        <f>'ก.ค.'!N31</f>
        <v>0</v>
      </c>
      <c r="E31" s="11"/>
      <c r="F31" s="11">
        <v>1380968.11</v>
      </c>
      <c r="G31" s="11"/>
      <c r="H31" s="11"/>
      <c r="I31" s="11">
        <v>1380968.11</v>
      </c>
      <c r="J31" s="11"/>
      <c r="K31" s="11"/>
      <c r="L31" s="11"/>
      <c r="M31" s="11">
        <v>0</v>
      </c>
      <c r="N31" s="11">
        <f t="shared" si="1"/>
        <v>0</v>
      </c>
    </row>
    <row r="32" spans="1:14" ht="23.25">
      <c r="A32" s="1" t="s">
        <v>35</v>
      </c>
      <c r="B32" s="2" t="s">
        <v>46</v>
      </c>
      <c r="C32" s="11">
        <f>'ก.ค.'!M32</f>
        <v>0</v>
      </c>
      <c r="D32" s="11">
        <f>'ก.ค.'!N32</f>
        <v>0</v>
      </c>
      <c r="E32" s="11"/>
      <c r="F32" s="11"/>
      <c r="G32" s="11"/>
      <c r="H32" s="11"/>
      <c r="I32" s="11"/>
      <c r="J32" s="11"/>
      <c r="K32" s="11"/>
      <c r="L32" s="11"/>
      <c r="M32" s="11"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'ก.ค.'!M33</f>
        <v>0</v>
      </c>
      <c r="D33" s="11">
        <f>'ก.ค.'!N33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f t="shared" si="0"/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'ก.ค.'!M34</f>
        <v>0</v>
      </c>
      <c r="D34" s="11">
        <f>'ก.ค.'!N34</f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'ก.ค.'!M35</f>
        <v>0</v>
      </c>
      <c r="D35" s="11">
        <f>'ก.ค.'!N35</f>
        <v>1502.8099999999977</v>
      </c>
      <c r="E35" s="11"/>
      <c r="F35" s="11"/>
      <c r="G35" s="11">
        <v>2930.9</v>
      </c>
      <c r="H35" s="11">
        <v>3257.36</v>
      </c>
      <c r="I35" s="11"/>
      <c r="J35" s="11"/>
      <c r="K35" s="11"/>
      <c r="L35" s="11"/>
      <c r="M35" s="11">
        <v>0</v>
      </c>
      <c r="N35" s="11">
        <f t="shared" si="1"/>
        <v>1829.2699999999982</v>
      </c>
    </row>
    <row r="36" spans="1:15" ht="23.25">
      <c r="A36" s="6" t="s">
        <v>72</v>
      </c>
      <c r="B36" s="7">
        <v>903</v>
      </c>
      <c r="C36" s="11">
        <f>'ก.ค.'!M36</f>
        <v>0</v>
      </c>
      <c r="D36" s="11">
        <f>'ก.ค.'!N36</f>
        <v>649401.5</v>
      </c>
      <c r="E36" s="11"/>
      <c r="F36" s="11">
        <v>7950</v>
      </c>
      <c r="G36" s="11">
        <v>89900</v>
      </c>
      <c r="H36" s="11"/>
      <c r="I36" s="11"/>
      <c r="J36" s="11"/>
      <c r="K36" s="11"/>
      <c r="L36" s="11"/>
      <c r="M36" s="11">
        <v>0</v>
      </c>
      <c r="N36" s="11">
        <f t="shared" si="1"/>
        <v>567451.5</v>
      </c>
      <c r="O36" s="9"/>
    </row>
    <row r="37" spans="1:15" ht="23.25">
      <c r="A37" s="1" t="s">
        <v>73</v>
      </c>
      <c r="B37" s="2">
        <v>904</v>
      </c>
      <c r="C37" s="11">
        <f>'ก.ค.'!M37</f>
        <v>1690</v>
      </c>
      <c r="D37" s="11">
        <f>'ก.ค.'!N37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1690</v>
      </c>
      <c r="N37" s="11">
        <v>0</v>
      </c>
      <c r="O37" s="52"/>
    </row>
    <row r="38" spans="1:15" ht="23.25">
      <c r="A38" s="1" t="s">
        <v>74</v>
      </c>
      <c r="B38" s="2" t="s">
        <v>49</v>
      </c>
      <c r="C38" s="11">
        <f>'ก.ค.'!M38</f>
        <v>0</v>
      </c>
      <c r="D38" s="11">
        <f>'ก.ค.'!N38</f>
        <v>0</v>
      </c>
      <c r="E38" s="11"/>
      <c r="F38" s="11"/>
      <c r="G38" s="11"/>
      <c r="H38" s="11"/>
      <c r="I38" s="11"/>
      <c r="J38" s="11"/>
      <c r="K38" s="11"/>
      <c r="L38" s="11"/>
      <c r="M38" s="11">
        <v>0</v>
      </c>
      <c r="N38" s="11">
        <f t="shared" si="1"/>
        <v>0</v>
      </c>
      <c r="O38" s="52"/>
    </row>
    <row r="39" spans="1:15" ht="23.25">
      <c r="A39" s="1" t="s">
        <v>75</v>
      </c>
      <c r="B39" s="2" t="s">
        <v>50</v>
      </c>
      <c r="C39" s="11">
        <f>'ก.ค.'!M39</f>
        <v>0</v>
      </c>
      <c r="D39" s="11">
        <f>'ก.ค.'!N39</f>
        <v>0</v>
      </c>
      <c r="E39" s="11"/>
      <c r="F39" s="11"/>
      <c r="G39" s="11"/>
      <c r="H39" s="11"/>
      <c r="I39" s="11"/>
      <c r="J39" s="11"/>
      <c r="K39" s="11"/>
      <c r="L39" s="11"/>
      <c r="M39" s="11">
        <v>0</v>
      </c>
      <c r="N39" s="11">
        <f t="shared" si="1"/>
        <v>0</v>
      </c>
      <c r="O39" s="52"/>
    </row>
    <row r="40" spans="1:15" ht="23.25">
      <c r="A40" s="1" t="s">
        <v>55</v>
      </c>
      <c r="B40" s="2">
        <v>900</v>
      </c>
      <c r="C40" s="11">
        <f>'ก.ค.'!M40</f>
        <v>0</v>
      </c>
      <c r="D40" s="11">
        <f>'ก.ค.'!N40</f>
        <v>0</v>
      </c>
      <c r="E40" s="12"/>
      <c r="F40" s="12">
        <v>412100</v>
      </c>
      <c r="G40" s="12"/>
      <c r="H40" s="12"/>
      <c r="I40" s="12"/>
      <c r="J40" s="12"/>
      <c r="K40" s="12"/>
      <c r="L40" s="12"/>
      <c r="M40" s="11">
        <v>0</v>
      </c>
      <c r="N40" s="11">
        <f t="shared" si="1"/>
        <v>412100</v>
      </c>
      <c r="O40" s="52"/>
    </row>
    <row r="41" spans="1:14" ht="23.25">
      <c r="A41" s="1" t="s">
        <v>54</v>
      </c>
      <c r="B41" s="2">
        <v>900</v>
      </c>
      <c r="C41" s="11">
        <f>'ก.ค.'!M41</f>
        <v>0</v>
      </c>
      <c r="D41" s="11">
        <f>'ก.ค.'!N41</f>
        <v>0</v>
      </c>
      <c r="E41" s="11"/>
      <c r="F41" s="11">
        <v>0</v>
      </c>
      <c r="G41" s="11"/>
      <c r="H41" s="11"/>
      <c r="I41" s="11"/>
      <c r="J41" s="11"/>
      <c r="K41" s="11"/>
      <c r="L41" s="11"/>
      <c r="M41" s="11">
        <f t="shared" si="0"/>
        <v>0</v>
      </c>
      <c r="N41" s="11">
        <v>0</v>
      </c>
    </row>
    <row r="42" spans="1:14" ht="23.25">
      <c r="A42" s="1" t="s">
        <v>56</v>
      </c>
      <c r="B42" s="2">
        <v>900</v>
      </c>
      <c r="C42" s="11">
        <f>'ก.ค.'!M42</f>
        <v>0</v>
      </c>
      <c r="D42" s="11">
        <f>'ก.ค.'!N42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'ก.ค.'!M43</f>
        <v>0</v>
      </c>
      <c r="D43" s="11">
        <f>'ก.ค.'!N43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5" ht="23.25">
      <c r="A44" s="1" t="s">
        <v>57</v>
      </c>
      <c r="B44" s="7" t="s">
        <v>34</v>
      </c>
      <c r="C44" s="11">
        <f>'ก.ค.'!M44</f>
        <v>236460</v>
      </c>
      <c r="D44" s="11">
        <f>'ก.ค.'!N44</f>
        <v>0</v>
      </c>
      <c r="E44" s="11"/>
      <c r="F44" s="11"/>
      <c r="G44" s="11">
        <v>33780</v>
      </c>
      <c r="H44" s="11"/>
      <c r="I44" s="11"/>
      <c r="J44" s="11"/>
      <c r="K44" s="11"/>
      <c r="L44" s="11">
        <v>270240</v>
      </c>
      <c r="M44" s="11">
        <f t="shared" si="0"/>
        <v>0</v>
      </c>
      <c r="N44" s="11">
        <v>0</v>
      </c>
      <c r="O44" s="52">
        <f>M44+M45+M46</f>
        <v>0</v>
      </c>
    </row>
    <row r="45" spans="1:14" ht="23.25">
      <c r="A45" s="6" t="s">
        <v>58</v>
      </c>
      <c r="B45" s="2">
        <v>900</v>
      </c>
      <c r="C45" s="11">
        <f>'ก.ค.'!M45</f>
        <v>59220</v>
      </c>
      <c r="D45" s="11">
        <f>'ก.ค.'!N45</f>
        <v>0</v>
      </c>
      <c r="E45" s="11"/>
      <c r="F45" s="11"/>
      <c r="G45" s="11">
        <v>8460</v>
      </c>
      <c r="H45" s="11"/>
      <c r="I45" s="11"/>
      <c r="J45" s="11"/>
      <c r="K45" s="11"/>
      <c r="L45" s="11">
        <v>67680</v>
      </c>
      <c r="M45" s="11">
        <f t="shared" si="0"/>
        <v>0</v>
      </c>
      <c r="N45" s="11">
        <v>0</v>
      </c>
    </row>
    <row r="46" spans="1:15" ht="23.25">
      <c r="A46" s="1" t="s">
        <v>158</v>
      </c>
      <c r="B46" s="2">
        <v>900</v>
      </c>
      <c r="C46" s="11">
        <f>'ก.ค.'!M46</f>
        <v>12969</v>
      </c>
      <c r="D46" s="11">
        <f>'ก.ค.'!N46</f>
        <v>0</v>
      </c>
      <c r="E46" s="11"/>
      <c r="F46" s="11"/>
      <c r="G46" s="11">
        <v>4300</v>
      </c>
      <c r="H46" s="11"/>
      <c r="I46" s="11"/>
      <c r="J46" s="11"/>
      <c r="K46" s="11"/>
      <c r="L46" s="11">
        <v>17269</v>
      </c>
      <c r="M46" s="11">
        <f t="shared" si="0"/>
        <v>0</v>
      </c>
      <c r="N46" s="11">
        <v>0</v>
      </c>
      <c r="O46" s="52"/>
    </row>
    <row r="47" spans="1:14" ht="23.25">
      <c r="A47" s="1" t="s">
        <v>166</v>
      </c>
      <c r="B47" s="2">
        <v>900</v>
      </c>
      <c r="C47" s="11">
        <f>'ก.ค.'!M47</f>
        <v>0</v>
      </c>
      <c r="D47" s="11">
        <f>'ก.ค.'!N47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'ก.ค.'!M48</f>
        <v>0</v>
      </c>
      <c r="D48" s="11">
        <f>'ก.ค.'!N48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f t="shared" si="0"/>
        <v>0</v>
      </c>
      <c r="N48" s="11">
        <f t="shared" si="1"/>
        <v>0</v>
      </c>
    </row>
    <row r="49" spans="1:15" ht="23.25">
      <c r="A49" s="1" t="s">
        <v>61</v>
      </c>
      <c r="B49" s="2" t="s">
        <v>34</v>
      </c>
      <c r="C49" s="11">
        <f>'ก.ค.'!M49</f>
        <v>0</v>
      </c>
      <c r="D49" s="11">
        <f>'ก.ค.'!N49</f>
        <v>1213554</v>
      </c>
      <c r="E49" s="11"/>
      <c r="F49" s="11"/>
      <c r="G49" s="11"/>
      <c r="H49" s="11"/>
      <c r="I49" s="11"/>
      <c r="J49" s="11"/>
      <c r="K49" s="11"/>
      <c r="L49" s="11"/>
      <c r="M49" s="11">
        <v>0</v>
      </c>
      <c r="N49" s="11">
        <f t="shared" si="1"/>
        <v>1213554</v>
      </c>
      <c r="O49" s="52"/>
    </row>
    <row r="50" spans="1:14" ht="23.25">
      <c r="A50" s="1" t="s">
        <v>62</v>
      </c>
      <c r="B50" s="2" t="s">
        <v>34</v>
      </c>
      <c r="C50" s="11">
        <f>'ก.ค.'!M50</f>
        <v>0</v>
      </c>
      <c r="D50" s="11">
        <f>'ก.ค.'!N50</f>
        <v>14542.77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14542.77</v>
      </c>
    </row>
    <row r="51" spans="1:14" ht="23.25">
      <c r="A51" s="1" t="s">
        <v>144</v>
      </c>
      <c r="B51" s="2">
        <v>900</v>
      </c>
      <c r="C51" s="11">
        <f>'ก.ค.'!M51</f>
        <v>0</v>
      </c>
      <c r="D51" s="11">
        <f>'ก.ค.'!N51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v>0</v>
      </c>
      <c r="N51" s="11">
        <f t="shared" si="1"/>
        <v>0</v>
      </c>
    </row>
    <row r="52" spans="1:14" ht="23.25">
      <c r="A52" s="1" t="s">
        <v>64</v>
      </c>
      <c r="B52" s="2">
        <v>900</v>
      </c>
      <c r="C52" s="11">
        <f>'ก.ค.'!M52</f>
        <v>0</v>
      </c>
      <c r="D52" s="11">
        <f>'ก.ค.'!N52</f>
        <v>6500</v>
      </c>
      <c r="E52" s="11"/>
      <c r="F52" s="11">
        <v>2000</v>
      </c>
      <c r="G52" s="11"/>
      <c r="H52" s="11"/>
      <c r="I52" s="11"/>
      <c r="J52" s="11"/>
      <c r="K52" s="11"/>
      <c r="L52" s="11"/>
      <c r="M52" s="11">
        <v>0</v>
      </c>
      <c r="N52" s="11">
        <f t="shared" si="1"/>
        <v>8500</v>
      </c>
    </row>
    <row r="53" spans="1:14" ht="23.25">
      <c r="A53" s="1" t="s">
        <v>65</v>
      </c>
      <c r="B53" s="2">
        <v>900</v>
      </c>
      <c r="C53" s="11">
        <f>'ก.ค.'!M53</f>
        <v>0</v>
      </c>
      <c r="D53" s="11">
        <f>'ก.ค.'!N53</f>
        <v>2000</v>
      </c>
      <c r="E53" s="12"/>
      <c r="F53" s="11">
        <v>500</v>
      </c>
      <c r="G53" s="11"/>
      <c r="H53" s="11"/>
      <c r="I53" s="11"/>
      <c r="J53" s="11"/>
      <c r="K53" s="11"/>
      <c r="L53" s="11"/>
      <c r="M53" s="11">
        <v>0</v>
      </c>
      <c r="N53" s="11">
        <f t="shared" si="1"/>
        <v>2500</v>
      </c>
    </row>
    <row r="54" spans="1:14" ht="23.25">
      <c r="A54" s="1" t="s">
        <v>66</v>
      </c>
      <c r="B54" s="2">
        <v>900</v>
      </c>
      <c r="C54" s="11">
        <f>'ก.ค.'!M54</f>
        <v>0</v>
      </c>
      <c r="D54" s="11">
        <f>'ก.ค.'!N54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f>'ก.ค.'!M55</f>
        <v>0</v>
      </c>
      <c r="D55" s="11">
        <f>'ก.ค.'!N55</f>
        <v>20000</v>
      </c>
      <c r="E55" s="11"/>
      <c r="F55" s="11"/>
      <c r="G55" s="11"/>
      <c r="H55" s="11"/>
      <c r="I55" s="11"/>
      <c r="J55" s="11"/>
      <c r="K55" s="11"/>
      <c r="L55" s="11"/>
      <c r="M55" s="11">
        <v>0</v>
      </c>
      <c r="N55" s="11">
        <f t="shared" si="1"/>
        <v>20000</v>
      </c>
    </row>
    <row r="56" spans="1:14" ht="23.25">
      <c r="A56" s="1" t="s">
        <v>142</v>
      </c>
      <c r="B56" s="2" t="s">
        <v>34</v>
      </c>
      <c r="C56" s="11">
        <f>'ก.ค.'!M56</f>
        <v>0</v>
      </c>
      <c r="D56" s="11">
        <f>'ก.ค.'!N56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f t="shared" si="0"/>
        <v>0</v>
      </c>
      <c r="N56" s="11">
        <f t="shared" si="1"/>
        <v>0</v>
      </c>
    </row>
    <row r="57" spans="1:14" ht="23.25">
      <c r="A57" s="1" t="s">
        <v>299</v>
      </c>
      <c r="B57" s="2" t="s">
        <v>34</v>
      </c>
      <c r="C57" s="11">
        <f>'ก.ค.'!M57</f>
        <v>0</v>
      </c>
      <c r="D57" s="11">
        <f>'ก.ค.'!N57</f>
        <v>0</v>
      </c>
      <c r="E57" s="11"/>
      <c r="F57" s="11">
        <v>921</v>
      </c>
      <c r="G57" s="11"/>
      <c r="H57" s="11"/>
      <c r="I57" s="11"/>
      <c r="J57" s="11"/>
      <c r="K57" s="11"/>
      <c r="L57" s="11"/>
      <c r="M57" s="11">
        <v>0</v>
      </c>
      <c r="N57" s="11">
        <f t="shared" si="1"/>
        <v>921</v>
      </c>
    </row>
    <row r="58" spans="1:14" ht="23.25">
      <c r="A58" s="1" t="s">
        <v>292</v>
      </c>
      <c r="B58" s="2" t="s">
        <v>34</v>
      </c>
      <c r="C58" s="11">
        <f>'ก.ค.'!M58</f>
        <v>0</v>
      </c>
      <c r="D58" s="11">
        <f>'ก.ค.'!N58</f>
        <v>295</v>
      </c>
      <c r="E58" s="12"/>
      <c r="F58" s="12"/>
      <c r="G58" s="12"/>
      <c r="H58" s="12"/>
      <c r="I58" s="12"/>
      <c r="J58" s="12"/>
      <c r="K58" s="12"/>
      <c r="L58" s="12"/>
      <c r="M58" s="11">
        <v>0</v>
      </c>
      <c r="N58" s="11">
        <f t="shared" si="1"/>
        <v>295</v>
      </c>
    </row>
    <row r="59" spans="1:14" ht="23.25">
      <c r="A59" s="1" t="s">
        <v>70</v>
      </c>
      <c r="B59" s="2" t="s">
        <v>34</v>
      </c>
      <c r="C59" s="11">
        <f>'ก.ค.'!M59</f>
        <v>0</v>
      </c>
      <c r="D59" s="11">
        <f>'ก.ค.'!N59</f>
        <v>0</v>
      </c>
      <c r="E59" s="12"/>
      <c r="F59" s="11"/>
      <c r="G59" s="11"/>
      <c r="H59" s="11"/>
      <c r="I59" s="11"/>
      <c r="J59" s="11"/>
      <c r="K59" s="11"/>
      <c r="L59" s="11"/>
      <c r="M59" s="11"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'ก.ค.'!M60</f>
        <v>0</v>
      </c>
      <c r="D60" s="11">
        <f>'ก.ค.'!N60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f>'ก.ค.'!M61</f>
        <v>0</v>
      </c>
      <c r="D61" s="11">
        <f>'ก.ค.'!N61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'ก.ค.'!M62</f>
        <v>0</v>
      </c>
      <c r="D62" s="11">
        <f>'ก.ค.'!N62</f>
        <v>299500</v>
      </c>
      <c r="E62" s="11"/>
      <c r="F62" s="11"/>
      <c r="G62" s="11"/>
      <c r="H62" s="11"/>
      <c r="I62" s="11"/>
      <c r="J62" s="11"/>
      <c r="K62" s="11"/>
      <c r="L62" s="11"/>
      <c r="M62" s="11">
        <v>0</v>
      </c>
      <c r="N62" s="11">
        <f t="shared" si="1"/>
        <v>299500</v>
      </c>
    </row>
    <row r="63" spans="1:15" ht="23.25">
      <c r="A63" s="1" t="s">
        <v>278</v>
      </c>
      <c r="B63" s="2" t="s">
        <v>167</v>
      </c>
      <c r="C63" s="11">
        <v>0</v>
      </c>
      <c r="D63" s="11">
        <f>'ก.ค.'!N63</f>
        <v>503066</v>
      </c>
      <c r="E63" s="11"/>
      <c r="F63" s="11"/>
      <c r="G63" s="11"/>
      <c r="H63" s="11"/>
      <c r="I63" s="11"/>
      <c r="J63" s="11"/>
      <c r="K63" s="11">
        <f>L44+L45+L46</f>
        <v>355189</v>
      </c>
      <c r="L63" s="11"/>
      <c r="M63" s="11">
        <v>0</v>
      </c>
      <c r="N63" s="11">
        <f t="shared" si="1"/>
        <v>147877</v>
      </c>
      <c r="O63" s="52">
        <f>N63-O44</f>
        <v>147877</v>
      </c>
    </row>
    <row r="64" spans="1:14" ht="23.25">
      <c r="A64" s="1" t="s">
        <v>277</v>
      </c>
      <c r="B64" s="2" t="s">
        <v>163</v>
      </c>
      <c r="C64" s="11">
        <f>'ก.ค.'!M64</f>
        <v>0</v>
      </c>
      <c r="D64" s="11">
        <f>'ก.ค.'!N64</f>
        <v>650000</v>
      </c>
      <c r="E64" s="12"/>
      <c r="F64" s="11"/>
      <c r="G64" s="11">
        <f>609500+12000</f>
        <v>621500</v>
      </c>
      <c r="H64" s="11"/>
      <c r="I64" s="11"/>
      <c r="J64" s="11"/>
      <c r="K64" s="11"/>
      <c r="L64" s="11"/>
      <c r="M64" s="11">
        <v>0</v>
      </c>
      <c r="N64" s="11">
        <f t="shared" si="1"/>
        <v>28500</v>
      </c>
    </row>
    <row r="65" spans="1:14" ht="23.25">
      <c r="A65" s="1" t="s">
        <v>297</v>
      </c>
      <c r="B65" s="2" t="s">
        <v>167</v>
      </c>
      <c r="C65" s="11">
        <f>'ก.ค.'!M65</f>
        <v>0</v>
      </c>
      <c r="D65" s="11">
        <f>'ก.ค.'!N65</f>
        <v>73000</v>
      </c>
      <c r="E65" s="11"/>
      <c r="F65" s="11"/>
      <c r="G65" s="11">
        <f>126500+4000</f>
        <v>130500</v>
      </c>
      <c r="H65" s="11"/>
      <c r="I65" s="11"/>
      <c r="J65" s="11"/>
      <c r="K65" s="11"/>
      <c r="L65" s="11"/>
      <c r="M65" s="11">
        <f t="shared" si="0"/>
        <v>57500</v>
      </c>
      <c r="N65" s="11">
        <v>0</v>
      </c>
    </row>
    <row r="66" spans="1:14" ht="23.25">
      <c r="A66" s="1" t="s">
        <v>120</v>
      </c>
      <c r="B66" s="2" t="s">
        <v>34</v>
      </c>
      <c r="C66" s="11">
        <f>'ก.ค.'!M66</f>
        <v>0</v>
      </c>
      <c r="D66" s="11">
        <f>'ก.ค.'!N66</f>
        <v>0</v>
      </c>
      <c r="E66" s="11"/>
      <c r="F66" s="11"/>
      <c r="G66" s="11">
        <v>84771</v>
      </c>
      <c r="H66" s="11">
        <v>84771</v>
      </c>
      <c r="I66" s="11"/>
      <c r="J66" s="11"/>
      <c r="K66" s="11"/>
      <c r="L66" s="11"/>
      <c r="M66" s="11"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f>'ก.ค.'!M67</f>
        <v>0</v>
      </c>
      <c r="D67" s="11">
        <f>'ก.ค.'!N67</f>
        <v>0</v>
      </c>
      <c r="E67" s="11"/>
      <c r="F67" s="11"/>
      <c r="G67" s="11">
        <v>45800</v>
      </c>
      <c r="H67" s="11">
        <v>45800</v>
      </c>
      <c r="I67" s="11"/>
      <c r="J67" s="11"/>
      <c r="K67" s="11"/>
      <c r="L67" s="11"/>
      <c r="M67" s="11">
        <f t="shared" si="0"/>
        <v>0</v>
      </c>
      <c r="N67" s="11">
        <f t="shared" si="1"/>
        <v>0</v>
      </c>
    </row>
    <row r="68" spans="1:14" ht="23.25">
      <c r="A68" s="1" t="s">
        <v>121</v>
      </c>
      <c r="B68" s="40" t="s">
        <v>34</v>
      </c>
      <c r="C68" s="11">
        <f>'ก.ค.'!M68</f>
        <v>0</v>
      </c>
      <c r="D68" s="11">
        <f>'ก.ค.'!N68</f>
        <v>0</v>
      </c>
      <c r="E68" s="11"/>
      <c r="F68" s="11"/>
      <c r="G68" s="11"/>
      <c r="H68" s="11"/>
      <c r="I68" s="11"/>
      <c r="J68" s="11"/>
      <c r="K68" s="11"/>
      <c r="L68" s="11"/>
      <c r="M68" s="11">
        <v>0</v>
      </c>
      <c r="N68" s="11">
        <f t="shared" si="1"/>
        <v>0</v>
      </c>
    </row>
    <row r="69" spans="1:14" ht="23.25">
      <c r="A69" s="51" t="s">
        <v>94</v>
      </c>
      <c r="B69" s="40" t="s">
        <v>79</v>
      </c>
      <c r="C69" s="11">
        <f>'ก.ค.'!M69</f>
        <v>0</v>
      </c>
      <c r="D69" s="11">
        <f>'ก.ค.'!N69</f>
        <v>34488</v>
      </c>
      <c r="E69" s="11"/>
      <c r="F69" s="11"/>
      <c r="G69" s="11"/>
      <c r="H69" s="11"/>
      <c r="I69" s="11"/>
      <c r="J69" s="11"/>
      <c r="K69" s="11"/>
      <c r="L69" s="11"/>
      <c r="M69" s="11">
        <v>0</v>
      </c>
      <c r="N69" s="11">
        <f t="shared" si="1"/>
        <v>34488</v>
      </c>
    </row>
    <row r="70" spans="1:14" ht="23.25">
      <c r="A70" s="51" t="s">
        <v>95</v>
      </c>
      <c r="B70" s="40" t="s">
        <v>80</v>
      </c>
      <c r="C70" s="11">
        <f>'ก.ค.'!M70</f>
        <v>0</v>
      </c>
      <c r="D70" s="11">
        <f>'ก.ค.'!N70</f>
        <v>72410.6</v>
      </c>
      <c r="E70" s="11"/>
      <c r="F70" s="11"/>
      <c r="G70" s="11"/>
      <c r="H70" s="11"/>
      <c r="I70" s="11"/>
      <c r="J70" s="11"/>
      <c r="K70" s="11"/>
      <c r="L70" s="11"/>
      <c r="M70" s="11">
        <v>0</v>
      </c>
      <c r="N70" s="11">
        <f t="shared" si="1"/>
        <v>72410.6</v>
      </c>
    </row>
    <row r="71" spans="1:14" ht="23.25">
      <c r="A71" s="51" t="s">
        <v>96</v>
      </c>
      <c r="B71" s="40" t="s">
        <v>81</v>
      </c>
      <c r="C71" s="11">
        <f>'ก.ค.'!M71</f>
        <v>0</v>
      </c>
      <c r="D71" s="11">
        <f>'ก.ค.'!N71</f>
        <v>6053</v>
      </c>
      <c r="E71" s="11"/>
      <c r="F71" s="11"/>
      <c r="G71" s="11"/>
      <c r="H71" s="11"/>
      <c r="I71" s="11"/>
      <c r="J71" s="11"/>
      <c r="K71" s="11"/>
      <c r="L71" s="11"/>
      <c r="M71" s="11">
        <v>0</v>
      </c>
      <c r="N71" s="11">
        <f t="shared" si="1"/>
        <v>6053</v>
      </c>
    </row>
    <row r="72" spans="1:14" ht="23.25">
      <c r="A72" s="51" t="s">
        <v>164</v>
      </c>
      <c r="B72" s="40" t="s">
        <v>162</v>
      </c>
      <c r="C72" s="11">
        <f>'ก.ค.'!M72</f>
        <v>0</v>
      </c>
      <c r="D72" s="11">
        <f>'ก.ค.'!N72</f>
        <v>39660</v>
      </c>
      <c r="E72" s="11"/>
      <c r="F72" s="11"/>
      <c r="G72" s="11"/>
      <c r="H72" s="11"/>
      <c r="I72" s="11"/>
      <c r="J72" s="11">
        <v>3690</v>
      </c>
      <c r="K72" s="11"/>
      <c r="L72" s="11"/>
      <c r="M72" s="11">
        <v>0</v>
      </c>
      <c r="N72" s="11">
        <f aca="true" t="shared" si="2" ref="N72:N91">SUM(D72+F72+H72+J72+L72)-(C72+E72+G72+I72+K72)</f>
        <v>43350</v>
      </c>
    </row>
    <row r="73" spans="1:14" ht="23.25">
      <c r="A73" s="51" t="s">
        <v>300</v>
      </c>
      <c r="B73" s="40" t="s">
        <v>83</v>
      </c>
      <c r="C73" s="11">
        <f>'ก.ค.'!M73</f>
        <v>0</v>
      </c>
      <c r="D73" s="11">
        <f>'ก.ค.'!N73</f>
        <v>3242152.1199999996</v>
      </c>
      <c r="E73" s="11"/>
      <c r="F73" s="11"/>
      <c r="G73" s="11"/>
      <c r="H73" s="11"/>
      <c r="I73" s="11"/>
      <c r="J73" s="11">
        <v>792596.28</v>
      </c>
      <c r="K73" s="11"/>
      <c r="L73" s="11"/>
      <c r="M73" s="11">
        <v>0</v>
      </c>
      <c r="N73" s="11">
        <f t="shared" si="2"/>
        <v>4034748.3999999994</v>
      </c>
    </row>
    <row r="74" spans="1:14" ht="23.25">
      <c r="A74" s="51" t="s">
        <v>125</v>
      </c>
      <c r="B74" s="40" t="s">
        <v>160</v>
      </c>
      <c r="C74" s="11">
        <f>'ก.ค.'!M74</f>
        <v>0</v>
      </c>
      <c r="D74" s="11">
        <f>'ก.ค.'!N74</f>
        <v>1562444.4200000002</v>
      </c>
      <c r="E74" s="11"/>
      <c r="F74" s="11"/>
      <c r="G74" s="11"/>
      <c r="H74" s="11"/>
      <c r="I74" s="11"/>
      <c r="J74" s="11">
        <v>114447.62</v>
      </c>
      <c r="K74" s="11"/>
      <c r="L74" s="11"/>
      <c r="M74" s="11">
        <v>0</v>
      </c>
      <c r="N74" s="11">
        <f t="shared" si="2"/>
        <v>1676892.04</v>
      </c>
    </row>
    <row r="75" spans="1:14" ht="23.25">
      <c r="A75" s="51" t="s">
        <v>123</v>
      </c>
      <c r="B75" s="40" t="s">
        <v>161</v>
      </c>
      <c r="C75" s="11">
        <f>'ก.ค.'!M75</f>
        <v>0</v>
      </c>
      <c r="D75" s="11">
        <f>'ก.ค.'!N75</f>
        <v>127662</v>
      </c>
      <c r="E75" s="11"/>
      <c r="F75" s="11"/>
      <c r="G75" s="11"/>
      <c r="H75" s="11"/>
      <c r="I75" s="11"/>
      <c r="J75" s="11">
        <v>33528</v>
      </c>
      <c r="K75" s="11"/>
      <c r="L75" s="11"/>
      <c r="M75" s="11">
        <v>0</v>
      </c>
      <c r="N75" s="11">
        <f t="shared" si="2"/>
        <v>161190</v>
      </c>
    </row>
    <row r="76" spans="1:14" ht="23.25">
      <c r="A76" s="51" t="s">
        <v>98</v>
      </c>
      <c r="B76" s="40" t="s">
        <v>85</v>
      </c>
      <c r="C76" s="11">
        <f>'ก.ค.'!M76</f>
        <v>0</v>
      </c>
      <c r="D76" s="11">
        <f>'ก.ค.'!N76</f>
        <v>947616.1</v>
      </c>
      <c r="E76" s="11"/>
      <c r="F76" s="11"/>
      <c r="G76" s="11"/>
      <c r="H76" s="11"/>
      <c r="I76" s="11"/>
      <c r="J76" s="11">
        <v>84190.77</v>
      </c>
      <c r="K76" s="11"/>
      <c r="L76" s="11"/>
      <c r="M76" s="11">
        <v>0</v>
      </c>
      <c r="N76" s="11">
        <f t="shared" si="2"/>
        <v>1031806.87</v>
      </c>
    </row>
    <row r="77" spans="1:14" ht="23.25">
      <c r="A77" s="51" t="s">
        <v>99</v>
      </c>
      <c r="B77" s="40" t="s">
        <v>86</v>
      </c>
      <c r="C77" s="11">
        <f>'ก.ค.'!M77</f>
        <v>0</v>
      </c>
      <c r="D77" s="11">
        <f>'ก.ค.'!N77</f>
        <v>2520901.61</v>
      </c>
      <c r="E77" s="11"/>
      <c r="F77" s="11"/>
      <c r="G77" s="11"/>
      <c r="H77" s="11"/>
      <c r="I77" s="11"/>
      <c r="J77" s="11">
        <v>261346.44</v>
      </c>
      <c r="K77" s="11"/>
      <c r="L77" s="11"/>
      <c r="M77" s="11">
        <v>0</v>
      </c>
      <c r="N77" s="11">
        <f t="shared" si="2"/>
        <v>2782248.05</v>
      </c>
    </row>
    <row r="78" spans="1:14" ht="23.25">
      <c r="A78" s="51" t="s">
        <v>100</v>
      </c>
      <c r="B78" s="40" t="s">
        <v>87</v>
      </c>
      <c r="C78" s="11">
        <f>'ก.ค.'!M78</f>
        <v>0</v>
      </c>
      <c r="D78" s="11">
        <f>'ก.ค.'!N78</f>
        <v>20931.02</v>
      </c>
      <c r="E78" s="11"/>
      <c r="F78" s="11"/>
      <c r="G78" s="11"/>
      <c r="H78" s="11"/>
      <c r="I78" s="11"/>
      <c r="J78" s="11"/>
      <c r="K78" s="11"/>
      <c r="L78" s="11"/>
      <c r="M78" s="11">
        <v>0</v>
      </c>
      <c r="N78" s="11">
        <f t="shared" si="2"/>
        <v>20931.02</v>
      </c>
    </row>
    <row r="79" spans="1:14" ht="23.25">
      <c r="A79" s="51" t="s">
        <v>293</v>
      </c>
      <c r="B79" s="40" t="s">
        <v>87</v>
      </c>
      <c r="C79" s="11">
        <f>'ก.ค.'!M79</f>
        <v>0</v>
      </c>
      <c r="D79" s="11">
        <f>'ก.ค.'!N79</f>
        <v>38301.61</v>
      </c>
      <c r="E79" s="11"/>
      <c r="F79" s="11"/>
      <c r="G79" s="11"/>
      <c r="H79" s="11"/>
      <c r="I79" s="11"/>
      <c r="J79" s="11"/>
      <c r="K79" s="11"/>
      <c r="L79" s="11"/>
      <c r="M79" s="11">
        <v>0</v>
      </c>
      <c r="N79" s="11">
        <f t="shared" si="2"/>
        <v>38301.61</v>
      </c>
    </row>
    <row r="80" spans="1:14" ht="23.25">
      <c r="A80" s="51" t="s">
        <v>280</v>
      </c>
      <c r="B80" s="40" t="s">
        <v>88</v>
      </c>
      <c r="C80" s="11">
        <f>'ก.ค.'!M80</f>
        <v>0</v>
      </c>
      <c r="D80" s="11">
        <f>'ก.ค.'!N80</f>
        <v>2.91</v>
      </c>
      <c r="E80" s="11"/>
      <c r="F80" s="11"/>
      <c r="G80" s="11"/>
      <c r="H80" s="11"/>
      <c r="I80" s="11"/>
      <c r="J80" s="11"/>
      <c r="K80" s="11"/>
      <c r="L80" s="11"/>
      <c r="M80" s="11">
        <v>0</v>
      </c>
      <c r="N80" s="11">
        <f t="shared" si="2"/>
        <v>2.91</v>
      </c>
    </row>
    <row r="81" spans="1:14" ht="23.25">
      <c r="A81" s="51" t="s">
        <v>124</v>
      </c>
      <c r="B81" s="40" t="s">
        <v>89</v>
      </c>
      <c r="C81" s="11">
        <f>'ก.ค.'!M81</f>
        <v>0</v>
      </c>
      <c r="D81" s="11">
        <f>'ก.ค.'!N81</f>
        <v>506345</v>
      </c>
      <c r="E81" s="11"/>
      <c r="F81" s="11"/>
      <c r="G81" s="11"/>
      <c r="H81" s="11"/>
      <c r="I81" s="11"/>
      <c r="J81" s="11">
        <v>89969</v>
      </c>
      <c r="K81" s="11"/>
      <c r="L81" s="11"/>
      <c r="M81" s="11">
        <v>0</v>
      </c>
      <c r="N81" s="11">
        <f t="shared" si="2"/>
        <v>596314</v>
      </c>
    </row>
    <row r="82" spans="1:14" ht="23.25">
      <c r="A82" s="51" t="s">
        <v>132</v>
      </c>
      <c r="B82" s="40" t="s">
        <v>133</v>
      </c>
      <c r="C82" s="11">
        <f>'ก.ค.'!M82</f>
        <v>0</v>
      </c>
      <c r="D82" s="11">
        <f>'ก.ค.'!N82</f>
        <v>5000</v>
      </c>
      <c r="E82" s="39"/>
      <c r="F82" s="39"/>
      <c r="G82" s="11"/>
      <c r="H82" s="11"/>
      <c r="I82" s="11"/>
      <c r="J82" s="11"/>
      <c r="K82" s="11"/>
      <c r="L82" s="11"/>
      <c r="M82" s="11">
        <v>0</v>
      </c>
      <c r="N82" s="11">
        <f t="shared" si="2"/>
        <v>5000</v>
      </c>
    </row>
    <row r="83" spans="1:14" ht="23.25">
      <c r="A83" s="51" t="s">
        <v>294</v>
      </c>
      <c r="B83" s="40" t="s">
        <v>90</v>
      </c>
      <c r="C83" s="11">
        <f>'ก.ค.'!M83</f>
        <v>0</v>
      </c>
      <c r="D83" s="11">
        <f>'ก.ค.'!N83</f>
        <v>12905.42</v>
      </c>
      <c r="E83" s="39"/>
      <c r="F83" s="39"/>
      <c r="G83" s="11"/>
      <c r="H83" s="11"/>
      <c r="I83" s="11"/>
      <c r="J83" s="11"/>
      <c r="K83" s="11"/>
      <c r="L83" s="11"/>
      <c r="M83" s="11">
        <v>0</v>
      </c>
      <c r="N83" s="11">
        <f t="shared" si="2"/>
        <v>12905.42</v>
      </c>
    </row>
    <row r="84" spans="1:14" ht="23.25">
      <c r="A84" s="51" t="s">
        <v>295</v>
      </c>
      <c r="B84" s="40" t="s">
        <v>91</v>
      </c>
      <c r="C84" s="11">
        <f>'ก.ค.'!M84</f>
        <v>0</v>
      </c>
      <c r="D84" s="11">
        <f>'ก.ค.'!N84</f>
        <v>7900</v>
      </c>
      <c r="E84" s="39"/>
      <c r="F84" s="39"/>
      <c r="G84" s="11"/>
      <c r="H84" s="11"/>
      <c r="I84" s="11"/>
      <c r="J84" s="11"/>
      <c r="K84" s="11"/>
      <c r="L84" s="11"/>
      <c r="M84" s="11">
        <v>0</v>
      </c>
      <c r="N84" s="11">
        <f t="shared" si="2"/>
        <v>7900</v>
      </c>
    </row>
    <row r="85" spans="1:14" ht="23.25">
      <c r="A85" s="51" t="s">
        <v>104</v>
      </c>
      <c r="B85" s="40" t="s">
        <v>92</v>
      </c>
      <c r="C85" s="11">
        <f>'ก.ค.'!M85</f>
        <v>0</v>
      </c>
      <c r="D85" s="11">
        <f>'ก.ค.'!N85</f>
        <v>61156</v>
      </c>
      <c r="E85" s="39"/>
      <c r="F85" s="39"/>
      <c r="G85" s="11"/>
      <c r="H85" s="11"/>
      <c r="I85" s="11"/>
      <c r="J85" s="11">
        <v>1200</v>
      </c>
      <c r="K85" s="11"/>
      <c r="L85" s="11"/>
      <c r="M85" s="11">
        <v>0</v>
      </c>
      <c r="N85" s="11">
        <f t="shared" si="2"/>
        <v>62356</v>
      </c>
    </row>
    <row r="86" spans="1:14" ht="23.25">
      <c r="A86" s="51" t="s">
        <v>105</v>
      </c>
      <c r="B86" s="40" t="s">
        <v>93</v>
      </c>
      <c r="C86" s="11">
        <f>'ก.ค.'!M86</f>
        <v>0</v>
      </c>
      <c r="D86" s="11">
        <f>'ก.ค.'!N86</f>
        <v>10264971</v>
      </c>
      <c r="E86" s="39"/>
      <c r="F86" s="39"/>
      <c r="G86" s="11"/>
      <c r="H86" s="11"/>
      <c r="I86" s="11"/>
      <c r="J86" s="11"/>
      <c r="K86" s="11"/>
      <c r="L86" s="11"/>
      <c r="M86" s="11">
        <v>0</v>
      </c>
      <c r="N86" s="11">
        <f t="shared" si="2"/>
        <v>10264971</v>
      </c>
    </row>
    <row r="87" spans="1:14" ht="23.25">
      <c r="A87" s="1" t="s">
        <v>106</v>
      </c>
      <c r="B87" s="40" t="s">
        <v>133</v>
      </c>
      <c r="C87" s="11">
        <f>'ก.ค.'!M87</f>
        <v>0</v>
      </c>
      <c r="D87" s="11">
        <f>'ก.ค.'!N87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 t="shared" si="2"/>
        <v>53000</v>
      </c>
    </row>
    <row r="88" spans="1:14" ht="23.25">
      <c r="A88" s="51" t="s">
        <v>140</v>
      </c>
      <c r="B88" s="40" t="s">
        <v>159</v>
      </c>
      <c r="C88" s="11">
        <f>'ก.ค.'!M88</f>
        <v>0</v>
      </c>
      <c r="D88" s="11">
        <f>'ก.ค.'!N88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v>0</v>
      </c>
      <c r="N88" s="11">
        <f t="shared" si="2"/>
        <v>0</v>
      </c>
    </row>
    <row r="89" spans="1:14" ht="23.25">
      <c r="A89" s="1" t="s">
        <v>143</v>
      </c>
      <c r="B89" s="53"/>
      <c r="C89" s="11">
        <f>'ก.ค.'!M89</f>
        <v>0</v>
      </c>
      <c r="D89" s="11">
        <f>'ก.ค.'!N89</f>
        <v>0</v>
      </c>
      <c r="E89" s="39"/>
      <c r="F89" s="39"/>
      <c r="G89" s="39"/>
      <c r="H89" s="39"/>
      <c r="I89" s="39"/>
      <c r="J89" s="39"/>
      <c r="K89" s="39"/>
      <c r="L89" s="39"/>
      <c r="M89" s="11">
        <v>0</v>
      </c>
      <c r="N89" s="11">
        <f t="shared" si="2"/>
        <v>0</v>
      </c>
    </row>
    <row r="90" spans="1:14" ht="23.25">
      <c r="A90" s="282" t="s">
        <v>307</v>
      </c>
      <c r="B90" s="283" t="s">
        <v>168</v>
      </c>
      <c r="C90" s="11">
        <f>'ก.ค.'!M90</f>
        <v>0</v>
      </c>
      <c r="D90" s="11">
        <f>'ก.ค.'!N90</f>
        <v>0</v>
      </c>
      <c r="E90" s="39"/>
      <c r="F90" s="39"/>
      <c r="G90" s="39"/>
      <c r="H90" s="39"/>
      <c r="I90" s="39"/>
      <c r="J90" s="39"/>
      <c r="K90" s="39"/>
      <c r="L90" s="39"/>
      <c r="M90" s="11"/>
      <c r="N90" s="11"/>
    </row>
    <row r="91" spans="1:14" ht="23.25">
      <c r="A91" s="285" t="s">
        <v>308</v>
      </c>
      <c r="B91" s="8" t="s">
        <v>168</v>
      </c>
      <c r="C91" s="265">
        <f>'ก.ค.'!M91</f>
        <v>0</v>
      </c>
      <c r="D91" s="11">
        <f>'ก.ค.'!N91</f>
        <v>53500</v>
      </c>
      <c r="E91" s="13"/>
      <c r="F91" s="13"/>
      <c r="G91" s="13"/>
      <c r="H91" s="13"/>
      <c r="I91" s="13"/>
      <c r="J91" s="13"/>
      <c r="K91" s="13"/>
      <c r="L91" s="13"/>
      <c r="M91" s="11">
        <v>0</v>
      </c>
      <c r="N91" s="11">
        <f t="shared" si="2"/>
        <v>53500</v>
      </c>
    </row>
    <row r="92" spans="1:15" ht="24" thickBot="1">
      <c r="A92" s="46"/>
      <c r="B92" s="284"/>
      <c r="C92" s="42">
        <f>SUM(C6:C91)</f>
        <v>27184881.63</v>
      </c>
      <c r="D92" s="42">
        <f>SUM(D6:D91)</f>
        <v>27184881.629999995</v>
      </c>
      <c r="E92" s="42">
        <f>SUM(E6:E91)</f>
        <v>3437075.8</v>
      </c>
      <c r="F92" s="42">
        <f>SUM(F6:F91)</f>
        <v>3437075.8</v>
      </c>
      <c r="G92" s="42">
        <f aca="true" t="shared" si="3" ref="G92:N92">SUM(G6:G91)</f>
        <v>2323193.3099999996</v>
      </c>
      <c r="H92" s="42">
        <f t="shared" si="3"/>
        <v>2323193.31</v>
      </c>
      <c r="I92" s="42">
        <f t="shared" si="3"/>
        <v>1380968.11</v>
      </c>
      <c r="J92" s="42">
        <f t="shared" si="3"/>
        <v>1380968.11</v>
      </c>
      <c r="K92" s="42">
        <f t="shared" si="3"/>
        <v>2376673.95</v>
      </c>
      <c r="L92" s="42">
        <f t="shared" si="3"/>
        <v>2376673.95</v>
      </c>
      <c r="M92" s="42">
        <f t="shared" si="3"/>
        <v>27715648.200000003</v>
      </c>
      <c r="N92" s="42">
        <f t="shared" si="3"/>
        <v>27715648.2</v>
      </c>
      <c r="O92" s="52"/>
    </row>
    <row r="93" spans="1:15" ht="24" thickTop="1">
      <c r="A93" s="46"/>
      <c r="B93" s="49"/>
      <c r="C93" s="15"/>
      <c r="D93" s="15">
        <f>C92-D92</f>
        <v>0</v>
      </c>
      <c r="E93" s="41"/>
      <c r="F93" s="15">
        <f>E92-F92</f>
        <v>0</v>
      </c>
      <c r="G93" s="41"/>
      <c r="H93" s="15">
        <f>G92-H92</f>
        <v>0</v>
      </c>
      <c r="I93" s="41"/>
      <c r="J93" s="15">
        <f>J92-I92</f>
        <v>0</v>
      </c>
      <c r="K93" s="41"/>
      <c r="L93" s="15">
        <f>L92-K92</f>
        <v>0</v>
      </c>
      <c r="M93" s="41"/>
      <c r="N93" s="15">
        <f>N92-M92</f>
        <v>0</v>
      </c>
      <c r="O93" s="52"/>
    </row>
    <row r="94" spans="1:67" ht="23.25">
      <c r="A94" s="259"/>
      <c r="B94" s="309"/>
      <c r="C94" s="309"/>
      <c r="D94" s="309"/>
      <c r="E94" s="309"/>
      <c r="F94" s="309"/>
      <c r="G94" s="309"/>
      <c r="H94" s="16"/>
      <c r="I94" s="16"/>
      <c r="J94" s="16"/>
      <c r="K94" s="16"/>
      <c r="L94" s="16"/>
      <c r="M94" s="16"/>
      <c r="N94" s="16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23.25">
      <c r="A95" s="46"/>
      <c r="B95" s="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23.25">
      <c r="A96" s="16"/>
      <c r="B96" s="309"/>
      <c r="C96" s="309"/>
      <c r="D96" s="309"/>
      <c r="E96" s="309"/>
      <c r="F96" s="309"/>
      <c r="G96" s="309"/>
      <c r="H96" s="16"/>
      <c r="I96" s="309"/>
      <c r="J96" s="309"/>
      <c r="K96" s="309"/>
      <c r="L96" s="16"/>
      <c r="M96" s="16"/>
      <c r="N96" s="1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22.5" customHeight="1">
      <c r="A97" s="16"/>
      <c r="B97" s="309"/>
      <c r="C97" s="309"/>
      <c r="D97" s="309"/>
      <c r="E97" s="309"/>
      <c r="F97" s="309"/>
      <c r="G97" s="309"/>
      <c r="H97" s="16"/>
      <c r="I97" s="309"/>
      <c r="J97" s="309"/>
      <c r="K97" s="309"/>
      <c r="L97" s="16"/>
      <c r="M97" s="16"/>
      <c r="N97" s="16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14" ht="23.25">
      <c r="A98" s="3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3.25">
      <c r="A99" s="3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3.25">
      <c r="A100" s="3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3.25">
      <c r="A101" s="3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3.25">
      <c r="A102" s="3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23.25">
      <c r="A103" s="3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3.25">
      <c r="A104" s="3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3.25">
      <c r="A105" s="3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3.25">
      <c r="A106" s="3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23.25">
      <c r="A107" s="3"/>
      <c r="B107" s="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</sheetData>
  <sheetProtection/>
  <mergeCells count="17">
    <mergeCell ref="I96:K96"/>
    <mergeCell ref="B97:D97"/>
    <mergeCell ref="E97:G97"/>
    <mergeCell ref="I97:K97"/>
    <mergeCell ref="B94:D94"/>
    <mergeCell ref="E94:G94"/>
    <mergeCell ref="B96:D96"/>
    <mergeCell ref="E96:G96"/>
    <mergeCell ref="A2:N2"/>
    <mergeCell ref="A1:N1"/>
    <mergeCell ref="K4:L4"/>
    <mergeCell ref="M4:N4"/>
    <mergeCell ref="A4:A5"/>
    <mergeCell ref="C4:D4"/>
    <mergeCell ref="E4:F4"/>
    <mergeCell ref="G4:H4"/>
    <mergeCell ref="I4:J4"/>
  </mergeCells>
  <printOptions/>
  <pageMargins left="0.22" right="0" top="0.5905511811023623" bottom="0.3937007874015748" header="0" footer="0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97"/>
  <sheetViews>
    <sheetView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9.140625" defaultRowHeight="12.75"/>
  <cols>
    <col min="1" max="1" width="55.7109375" style="5" customWidth="1"/>
    <col min="2" max="2" width="7.7109375" style="5" customWidth="1"/>
    <col min="3" max="3" width="13.7109375" style="9" customWidth="1"/>
    <col min="4" max="4" width="13.8515625" style="9" customWidth="1"/>
    <col min="5" max="14" width="13.7109375" style="9" customWidth="1"/>
    <col min="15" max="67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276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14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3.25">
      <c r="A4" s="307" t="s">
        <v>0</v>
      </c>
      <c r="B4" s="30" t="s">
        <v>77</v>
      </c>
      <c r="C4" s="305" t="s">
        <v>291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</row>
    <row r="5" spans="1:14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</row>
    <row r="6" spans="1:14" ht="23.25">
      <c r="A6" s="6" t="s">
        <v>51</v>
      </c>
      <c r="B6" s="7" t="s">
        <v>5</v>
      </c>
      <c r="C6" s="32">
        <f>'ส.ค.'!M6</f>
        <v>0</v>
      </c>
      <c r="D6" s="32">
        <f>'ส.ค.'!N6</f>
        <v>0</v>
      </c>
      <c r="E6" s="10"/>
      <c r="F6" s="10"/>
      <c r="G6" s="10"/>
      <c r="H6" s="10"/>
      <c r="I6" s="10"/>
      <c r="J6" s="10"/>
      <c r="K6" s="10"/>
      <c r="L6" s="10"/>
      <c r="M6" s="11">
        <f aca="true" t="shared" si="0" ref="M6:M68">SUM(C6+E6+G6+I6+K6)-(D6+F6+H6+J6+L6)</f>
        <v>0</v>
      </c>
      <c r="N6" s="11">
        <v>0</v>
      </c>
    </row>
    <row r="7" spans="1:16" ht="23.25">
      <c r="A7" s="1" t="s">
        <v>116</v>
      </c>
      <c r="B7" s="2" t="s">
        <v>6</v>
      </c>
      <c r="C7" s="11">
        <f>'ส.ค.'!M7</f>
        <v>84522.89000000013</v>
      </c>
      <c r="D7" s="11">
        <f>'ส.ค.'!N7</f>
        <v>0</v>
      </c>
      <c r="E7" s="12">
        <v>278778.11</v>
      </c>
      <c r="F7" s="12"/>
      <c r="G7" s="12"/>
      <c r="H7" s="12">
        <v>363301</v>
      </c>
      <c r="I7" s="12"/>
      <c r="J7" s="12"/>
      <c r="K7" s="12"/>
      <c r="L7" s="12"/>
      <c r="M7" s="11">
        <f t="shared" si="0"/>
        <v>0</v>
      </c>
      <c r="N7" s="11">
        <v>0</v>
      </c>
      <c r="O7" s="52"/>
      <c r="P7" s="52"/>
    </row>
    <row r="8" spans="1:16" ht="23.25">
      <c r="A8" s="1" t="s">
        <v>130</v>
      </c>
      <c r="B8" s="2" t="s">
        <v>7</v>
      </c>
      <c r="C8" s="11">
        <f>'ส.ค.'!M8</f>
        <v>571553.6</v>
      </c>
      <c r="D8" s="11">
        <f>'ส.ค.'!N8</f>
        <v>0</v>
      </c>
      <c r="E8" s="11"/>
      <c r="F8" s="11"/>
      <c r="G8" s="11"/>
      <c r="H8" s="11"/>
      <c r="I8" s="11"/>
      <c r="J8" s="11"/>
      <c r="K8" s="11"/>
      <c r="L8" s="11"/>
      <c r="M8" s="11">
        <f t="shared" si="0"/>
        <v>571553.6</v>
      </c>
      <c r="N8" s="11">
        <v>0</v>
      </c>
      <c r="O8" s="52">
        <f>571553.6-M8</f>
        <v>0</v>
      </c>
      <c r="P8" s="52"/>
    </row>
    <row r="9" spans="1:16" ht="23.25">
      <c r="A9" s="1" t="s">
        <v>134</v>
      </c>
      <c r="B9" s="2" t="s">
        <v>7</v>
      </c>
      <c r="C9" s="11">
        <f>'ส.ค.'!M9</f>
        <v>0</v>
      </c>
      <c r="D9" s="11">
        <f>'ส.ค.'!N9</f>
        <v>0</v>
      </c>
      <c r="E9" s="11"/>
      <c r="F9" s="11"/>
      <c r="G9" s="11"/>
      <c r="H9" s="11">
        <v>2403791.25</v>
      </c>
      <c r="I9" s="11"/>
      <c r="J9" s="11"/>
      <c r="K9" s="11">
        <v>2403791.25</v>
      </c>
      <c r="L9" s="11"/>
      <c r="M9" s="11">
        <f t="shared" si="0"/>
        <v>0</v>
      </c>
      <c r="N9" s="11">
        <f>SUM(D9+F9+H9+J9+L9)-(C9+E9+G9+I9+K9)</f>
        <v>0</v>
      </c>
      <c r="O9" s="52"/>
      <c r="P9" s="52"/>
    </row>
    <row r="10" spans="1:16" ht="23.25">
      <c r="A10" s="1" t="s">
        <v>117</v>
      </c>
      <c r="B10" s="2" t="s">
        <v>8</v>
      </c>
      <c r="C10" s="11">
        <f>'ส.ค.'!M10</f>
        <v>9967403.14</v>
      </c>
      <c r="D10" s="11">
        <f>'ส.ค.'!N10</f>
        <v>0</v>
      </c>
      <c r="E10" s="11">
        <v>2488373.81</v>
      </c>
      <c r="F10" s="11"/>
      <c r="G10" s="11"/>
      <c r="H10" s="11"/>
      <c r="I10" s="11"/>
      <c r="J10" s="11"/>
      <c r="K10" s="11"/>
      <c r="L10" s="11">
        <v>2403791.25</v>
      </c>
      <c r="M10" s="11">
        <f t="shared" si="0"/>
        <v>10051985.700000001</v>
      </c>
      <c r="N10" s="11">
        <v>0</v>
      </c>
      <c r="O10" s="52">
        <f>10190783.12-M10</f>
        <v>138797.41999999806</v>
      </c>
      <c r="P10" s="286">
        <f>1437706.97</f>
        <v>1437706.97</v>
      </c>
    </row>
    <row r="11" spans="1:16" ht="23.25">
      <c r="A11" s="1" t="s">
        <v>128</v>
      </c>
      <c r="B11" s="2" t="s">
        <v>8</v>
      </c>
      <c r="C11" s="11">
        <f>'ส.ค.'!M11</f>
        <v>1228096.77</v>
      </c>
      <c r="D11" s="11">
        <f>'ส.ค.'!N11</f>
        <v>0</v>
      </c>
      <c r="E11" s="11">
        <v>1832.71</v>
      </c>
      <c r="F11" s="11"/>
      <c r="G11" s="11"/>
      <c r="H11" s="11"/>
      <c r="I11" s="11"/>
      <c r="J11" s="11"/>
      <c r="K11" s="11"/>
      <c r="L11" s="11"/>
      <c r="M11" s="11">
        <f t="shared" si="0"/>
        <v>1229929.48</v>
      </c>
      <c r="N11" s="11">
        <v>0</v>
      </c>
      <c r="O11" s="9">
        <f>1229929.48-M11</f>
        <v>0</v>
      </c>
      <c r="P11" s="279">
        <f>P10-O10</f>
        <v>1298909.550000002</v>
      </c>
    </row>
    <row r="12" spans="1:15" ht="23.25">
      <c r="A12" s="1" t="s">
        <v>131</v>
      </c>
      <c r="B12" s="2" t="s">
        <v>8</v>
      </c>
      <c r="C12" s="11">
        <f>'ส.ค.'!M12</f>
        <v>1621.45</v>
      </c>
      <c r="D12" s="11">
        <f>'ส.ค.'!N12</f>
        <v>0</v>
      </c>
      <c r="E12" s="11">
        <v>2.52</v>
      </c>
      <c r="F12" s="11"/>
      <c r="G12" s="11"/>
      <c r="H12" s="11"/>
      <c r="I12" s="11"/>
      <c r="J12" s="11"/>
      <c r="K12" s="11"/>
      <c r="L12" s="11"/>
      <c r="M12" s="11">
        <f t="shared" si="0"/>
        <v>1623.97</v>
      </c>
      <c r="N12" s="11">
        <v>0</v>
      </c>
      <c r="O12" s="52"/>
    </row>
    <row r="13" spans="1:16" ht="23.25">
      <c r="A13" s="1" t="s">
        <v>39</v>
      </c>
      <c r="B13" s="2" t="s">
        <v>40</v>
      </c>
      <c r="C13" s="11">
        <f>'ส.ค.'!M13</f>
        <v>164765</v>
      </c>
      <c r="D13" s="11">
        <f>'ส.ค.'!N13</f>
        <v>0</v>
      </c>
      <c r="E13" s="11"/>
      <c r="F13" s="11"/>
      <c r="G13" s="11">
        <v>21200</v>
      </c>
      <c r="H13" s="11"/>
      <c r="I13" s="11"/>
      <c r="J13" s="11"/>
      <c r="K13" s="225"/>
      <c r="L13" s="11">
        <f>153170+2795</f>
        <v>155965</v>
      </c>
      <c r="M13" s="11">
        <f t="shared" si="0"/>
        <v>30000</v>
      </c>
      <c r="N13" s="11">
        <v>0</v>
      </c>
      <c r="O13" s="74"/>
      <c r="P13" s="279">
        <v>30000</v>
      </c>
    </row>
    <row r="14" spans="1:17" ht="23.25">
      <c r="A14" s="1" t="s">
        <v>110</v>
      </c>
      <c r="B14" s="2" t="s">
        <v>111</v>
      </c>
      <c r="C14" s="11">
        <f>'ส.ค.'!M14</f>
        <v>0</v>
      </c>
      <c r="D14" s="11">
        <f>'ส.ค.'!N14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  <c r="O14" s="52"/>
      <c r="P14" s="279">
        <f>2000+295+500</f>
        <v>2795</v>
      </c>
      <c r="Q14" s="9">
        <v>24000</v>
      </c>
    </row>
    <row r="15" spans="1:17" ht="23.25">
      <c r="A15" s="1" t="s">
        <v>52</v>
      </c>
      <c r="B15" s="2" t="s">
        <v>9</v>
      </c>
      <c r="C15" s="11">
        <f>'ส.ค.'!M15</f>
        <v>397083</v>
      </c>
      <c r="D15" s="11">
        <f>'ส.ค.'!N15</f>
        <v>0</v>
      </c>
      <c r="E15" s="11"/>
      <c r="F15" s="11"/>
      <c r="G15" s="11">
        <v>15648</v>
      </c>
      <c r="H15" s="11"/>
      <c r="I15" s="11"/>
      <c r="J15" s="11"/>
      <c r="K15" s="11"/>
      <c r="L15" s="11"/>
      <c r="M15" s="11">
        <f t="shared" si="0"/>
        <v>412731</v>
      </c>
      <c r="N15" s="11">
        <v>0</v>
      </c>
      <c r="O15" s="52"/>
      <c r="P15" s="9"/>
      <c r="Q15" s="9">
        <v>11630</v>
      </c>
    </row>
    <row r="16" spans="1:17" ht="23.25">
      <c r="A16" s="6" t="s">
        <v>10</v>
      </c>
      <c r="B16" s="7" t="s">
        <v>11</v>
      </c>
      <c r="C16" s="11">
        <f>'ส.ค.'!M16</f>
        <v>2491455</v>
      </c>
      <c r="D16" s="11">
        <f>'ส.ค.'!N16</f>
        <v>0</v>
      </c>
      <c r="E16" s="11"/>
      <c r="F16" s="11"/>
      <c r="G16" s="11">
        <v>226780</v>
      </c>
      <c r="H16" s="11"/>
      <c r="I16" s="11"/>
      <c r="J16" s="11"/>
      <c r="K16" s="11"/>
      <c r="L16" s="11"/>
      <c r="M16" s="11">
        <f t="shared" si="0"/>
        <v>2718235</v>
      </c>
      <c r="N16" s="11">
        <v>0</v>
      </c>
      <c r="O16" s="52"/>
      <c r="P16" s="9"/>
      <c r="Q16" s="9">
        <v>88500</v>
      </c>
    </row>
    <row r="17" spans="1:17" ht="23.25">
      <c r="A17" s="1" t="s">
        <v>12</v>
      </c>
      <c r="B17" s="2" t="s">
        <v>13</v>
      </c>
      <c r="C17" s="11">
        <f>'ส.ค.'!M17</f>
        <v>0</v>
      </c>
      <c r="D17" s="11">
        <f>'ส.ค.'!N17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f aca="true" t="shared" si="1" ref="N17:N71">SUM(D17+F17+H17+J17+L17)-(C17+E17+G17+I17+K17)</f>
        <v>0</v>
      </c>
      <c r="O17" s="52"/>
      <c r="P17" s="9"/>
      <c r="Q17" s="9">
        <v>7840</v>
      </c>
    </row>
    <row r="18" spans="1:17" ht="23.25">
      <c r="A18" s="1" t="s">
        <v>14</v>
      </c>
      <c r="B18" s="2" t="s">
        <v>15</v>
      </c>
      <c r="C18" s="11">
        <f>'ส.ค.'!M18</f>
        <v>1493140</v>
      </c>
      <c r="D18" s="11">
        <f>'ส.ค.'!N18</f>
        <v>0</v>
      </c>
      <c r="E18" s="11"/>
      <c r="F18" s="11"/>
      <c r="G18" s="11">
        <v>135740</v>
      </c>
      <c r="H18" s="11"/>
      <c r="I18" s="11"/>
      <c r="J18" s="11"/>
      <c r="K18" s="11"/>
      <c r="L18" s="11"/>
      <c r="M18" s="11">
        <f t="shared" si="0"/>
        <v>1628880</v>
      </c>
      <c r="N18" s="11">
        <v>0</v>
      </c>
      <c r="O18" s="226"/>
      <c r="P18" s="9"/>
      <c r="Q18" s="266">
        <v>12000</v>
      </c>
    </row>
    <row r="19" spans="1:17" ht="23.25">
      <c r="A19" s="1" t="s">
        <v>16</v>
      </c>
      <c r="B19" s="2" t="s">
        <v>17</v>
      </c>
      <c r="C19" s="11">
        <f>'ส.ค.'!M19</f>
        <v>3053088</v>
      </c>
      <c r="D19" s="11">
        <f>'ส.ค.'!N19</f>
        <v>0</v>
      </c>
      <c r="E19" s="11"/>
      <c r="F19" s="11"/>
      <c r="G19" s="11">
        <v>318963</v>
      </c>
      <c r="H19" s="11"/>
      <c r="I19" s="11"/>
      <c r="J19" s="11"/>
      <c r="K19" s="11"/>
      <c r="L19" s="11"/>
      <c r="M19" s="11">
        <f t="shared" si="0"/>
        <v>3372051</v>
      </c>
      <c r="N19" s="11">
        <v>0</v>
      </c>
      <c r="P19" s="52">
        <f>SUM(P13:P18)</f>
        <v>32795</v>
      </c>
      <c r="Q19" s="9">
        <v>3000</v>
      </c>
    </row>
    <row r="20" spans="1:17" ht="23.25">
      <c r="A20" s="1" t="s">
        <v>18</v>
      </c>
      <c r="B20" s="2" t="s">
        <v>19</v>
      </c>
      <c r="C20" s="11">
        <f>'ส.ค.'!M20</f>
        <v>3595921.64</v>
      </c>
      <c r="D20" s="11">
        <f>'ส.ค.'!N20</f>
        <v>0</v>
      </c>
      <c r="E20" s="11"/>
      <c r="F20" s="11"/>
      <c r="G20" s="11">
        <v>308150.24</v>
      </c>
      <c r="H20" s="11"/>
      <c r="I20" s="11"/>
      <c r="J20" s="11"/>
      <c r="K20" s="11">
        <v>153170</v>
      </c>
      <c r="L20" s="225"/>
      <c r="M20" s="11">
        <f t="shared" si="0"/>
        <v>4057241.88</v>
      </c>
      <c r="N20" s="11">
        <v>0</v>
      </c>
      <c r="O20" s="52"/>
      <c r="Q20" s="9">
        <v>3200</v>
      </c>
    </row>
    <row r="21" spans="1:17" ht="23.25">
      <c r="A21" s="1" t="s">
        <v>20</v>
      </c>
      <c r="B21" s="2" t="s">
        <v>21</v>
      </c>
      <c r="C21" s="11">
        <f>'ส.ค.'!M21</f>
        <v>1686352.45</v>
      </c>
      <c r="D21" s="11">
        <f>'ส.ค.'!N21</f>
        <v>0</v>
      </c>
      <c r="E21" s="12"/>
      <c r="F21" s="12"/>
      <c r="G21" s="12">
        <v>1125861.1</v>
      </c>
      <c r="H21" s="12"/>
      <c r="I21" s="12"/>
      <c r="J21" s="12"/>
      <c r="K21" s="12"/>
      <c r="L21" s="12"/>
      <c r="M21" s="11">
        <f t="shared" si="0"/>
        <v>2812213.55</v>
      </c>
      <c r="N21" s="11">
        <v>0</v>
      </c>
      <c r="Q21" s="9">
        <v>3000</v>
      </c>
    </row>
    <row r="22" spans="1:17" ht="23.25">
      <c r="A22" s="1" t="s">
        <v>22</v>
      </c>
      <c r="B22" s="2" t="s">
        <v>23</v>
      </c>
      <c r="C22" s="11">
        <f>'ส.ค.'!M22</f>
        <v>125359.26000000001</v>
      </c>
      <c r="D22" s="11">
        <f>'ส.ค.'!N22</f>
        <v>0</v>
      </c>
      <c r="E22" s="11"/>
      <c r="F22" s="11"/>
      <c r="G22" s="11">
        <v>19389.29</v>
      </c>
      <c r="H22" s="11"/>
      <c r="I22" s="11"/>
      <c r="J22" s="11"/>
      <c r="K22" s="11"/>
      <c r="L22" s="11"/>
      <c r="M22" s="11">
        <f t="shared" si="0"/>
        <v>144748.55000000002</v>
      </c>
      <c r="N22" s="11">
        <v>0</v>
      </c>
      <c r="Q22" s="9">
        <f>SUM(Q14:Q21)</f>
        <v>153170</v>
      </c>
    </row>
    <row r="23" spans="1:14" ht="23.25">
      <c r="A23" s="1" t="s">
        <v>24</v>
      </c>
      <c r="B23" s="2" t="s">
        <v>25</v>
      </c>
      <c r="C23" s="11">
        <f>'ส.ค.'!M23</f>
        <v>2517000</v>
      </c>
      <c r="D23" s="11">
        <f>'ส.ค.'!N23</f>
        <v>0</v>
      </c>
      <c r="E23" s="11"/>
      <c r="F23" s="11"/>
      <c r="G23" s="11">
        <v>20000</v>
      </c>
      <c r="H23" s="11"/>
      <c r="I23" s="11"/>
      <c r="J23" s="11"/>
      <c r="K23" s="11"/>
      <c r="L23" s="11"/>
      <c r="M23" s="11">
        <f t="shared" si="0"/>
        <v>2537000</v>
      </c>
      <c r="N23" s="11">
        <v>0</v>
      </c>
    </row>
    <row r="24" spans="1:16" ht="23.25">
      <c r="A24" s="1" t="s">
        <v>26</v>
      </c>
      <c r="B24" s="2" t="s">
        <v>27</v>
      </c>
      <c r="C24" s="11">
        <f>'ส.ค.'!M24</f>
        <v>130096</v>
      </c>
      <c r="D24" s="11">
        <f>'ส.ค.'!N24</f>
        <v>0</v>
      </c>
      <c r="E24" s="11"/>
      <c r="F24" s="11"/>
      <c r="G24" s="11">
        <v>11000</v>
      </c>
      <c r="H24" s="11"/>
      <c r="I24" s="11"/>
      <c r="J24" s="11"/>
      <c r="K24" s="11"/>
      <c r="L24" s="11"/>
      <c r="M24" s="11">
        <f t="shared" si="0"/>
        <v>141096</v>
      </c>
      <c r="N24" s="11">
        <v>0</v>
      </c>
      <c r="P24" s="9">
        <f>4536+73060+52500+11000</f>
        <v>141096</v>
      </c>
    </row>
    <row r="25" spans="1:14" ht="23.25">
      <c r="A25" s="1" t="s">
        <v>28</v>
      </c>
      <c r="B25" s="2" t="s">
        <v>29</v>
      </c>
      <c r="C25" s="11">
        <f>'ส.ค.'!M25</f>
        <v>95000</v>
      </c>
      <c r="D25" s="11">
        <f>'ส.ค.'!N25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95000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'ส.ค.'!M26</f>
        <v>54000</v>
      </c>
      <c r="D26" s="11">
        <f>'ส.ค.'!N26</f>
        <v>0</v>
      </c>
      <c r="E26" s="11"/>
      <c r="F26" s="11"/>
      <c r="G26" s="11">
        <v>1500</v>
      </c>
      <c r="H26" s="11"/>
      <c r="I26" s="11"/>
      <c r="J26" s="11"/>
      <c r="K26" s="11"/>
      <c r="L26" s="11"/>
      <c r="M26" s="11">
        <f t="shared" si="0"/>
        <v>55500</v>
      </c>
      <c r="N26" s="11">
        <v>0</v>
      </c>
    </row>
    <row r="27" spans="1:14" ht="23.25">
      <c r="A27" s="1" t="s">
        <v>41</v>
      </c>
      <c r="B27" s="2" t="s">
        <v>42</v>
      </c>
      <c r="C27" s="11">
        <f>'ส.ค.'!M27</f>
        <v>0</v>
      </c>
      <c r="D27" s="11">
        <f>'ส.ค.'!N27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f t="shared" si="0"/>
        <v>0</v>
      </c>
      <c r="N27" s="11">
        <f t="shared" si="1"/>
        <v>0</v>
      </c>
    </row>
    <row r="28" spans="1:15" ht="23.25">
      <c r="A28" s="1" t="s">
        <v>44</v>
      </c>
      <c r="B28" s="2" t="s">
        <v>30</v>
      </c>
      <c r="C28" s="11">
        <f>'ส.ค.'!M28</f>
        <v>0</v>
      </c>
      <c r="D28" s="11">
        <f>'ส.ค.'!N28</f>
        <v>2740837.9099999997</v>
      </c>
      <c r="E28" s="11"/>
      <c r="F28" s="11"/>
      <c r="G28" s="11"/>
      <c r="H28" s="11"/>
      <c r="I28" s="11"/>
      <c r="J28" s="11"/>
      <c r="K28" s="11">
        <f>2795+67500</f>
        <v>70295</v>
      </c>
      <c r="L28" s="11">
        <f>295+K61</f>
        <v>4659.44</v>
      </c>
      <c r="M28" s="11">
        <v>0</v>
      </c>
      <c r="N28" s="11">
        <f t="shared" si="1"/>
        <v>2675202.3499999996</v>
      </c>
      <c r="O28" s="52"/>
    </row>
    <row r="29" spans="1:15" ht="23.25">
      <c r="A29" s="1" t="s">
        <v>45</v>
      </c>
      <c r="B29" s="2" t="s">
        <v>43</v>
      </c>
      <c r="C29" s="11">
        <f>'ส.ค.'!M29</f>
        <v>0</v>
      </c>
      <c r="D29" s="11">
        <f>'ส.ค.'!N29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  <c r="O29" s="52"/>
    </row>
    <row r="30" spans="1:15" ht="23.25">
      <c r="A30" s="1" t="s">
        <v>53</v>
      </c>
      <c r="B30" s="2" t="s">
        <v>31</v>
      </c>
      <c r="C30" s="11">
        <f>'ส.ค.'!M30</f>
        <v>0</v>
      </c>
      <c r="D30" s="11">
        <f>'ส.ค.'!N30</f>
        <v>0</v>
      </c>
      <c r="E30" s="11"/>
      <c r="F30" s="11"/>
      <c r="G30" s="11"/>
      <c r="H30" s="11"/>
      <c r="I30" s="11"/>
      <c r="J30" s="11"/>
      <c r="K30" s="11"/>
      <c r="L30" s="11"/>
      <c r="M30" s="11">
        <f t="shared" si="0"/>
        <v>0</v>
      </c>
      <c r="N30" s="11">
        <f t="shared" si="1"/>
        <v>0</v>
      </c>
      <c r="O30" s="52"/>
    </row>
    <row r="31" spans="1:14" ht="23.25">
      <c r="A31" s="1" t="s">
        <v>32</v>
      </c>
      <c r="B31" s="2" t="s">
        <v>33</v>
      </c>
      <c r="C31" s="11">
        <f>'ส.ค.'!M31</f>
        <v>0</v>
      </c>
      <c r="D31" s="11">
        <f>'ส.ค.'!N31</f>
        <v>0</v>
      </c>
      <c r="E31" s="11"/>
      <c r="F31" s="11">
        <v>2625003.99</v>
      </c>
      <c r="G31" s="11"/>
      <c r="H31" s="11"/>
      <c r="I31" s="11">
        <v>2625003.99</v>
      </c>
      <c r="J31" s="11"/>
      <c r="K31" s="11"/>
      <c r="L31" s="11"/>
      <c r="M31" s="11">
        <f t="shared" si="0"/>
        <v>0</v>
      </c>
      <c r="N31" s="11">
        <f t="shared" si="1"/>
        <v>0</v>
      </c>
    </row>
    <row r="32" spans="1:14" ht="23.25">
      <c r="A32" s="1" t="s">
        <v>35</v>
      </c>
      <c r="B32" s="2" t="s">
        <v>46</v>
      </c>
      <c r="C32" s="11">
        <f>'ส.ค.'!M32</f>
        <v>0</v>
      </c>
      <c r="D32" s="11">
        <f>'ส.ค.'!N32</f>
        <v>0</v>
      </c>
      <c r="E32" s="11"/>
      <c r="F32" s="11"/>
      <c r="G32" s="11"/>
      <c r="H32" s="11"/>
      <c r="I32" s="11"/>
      <c r="J32" s="11"/>
      <c r="K32" s="11"/>
      <c r="L32" s="11"/>
      <c r="M32" s="11">
        <f t="shared" si="0"/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'ส.ค.'!M33</f>
        <v>0</v>
      </c>
      <c r="D33" s="11">
        <f>'ส.ค.'!N33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f t="shared" si="0"/>
        <v>0</v>
      </c>
      <c r="N33" s="11">
        <v>0</v>
      </c>
    </row>
    <row r="34" spans="1:14" ht="23.25">
      <c r="A34" s="1" t="s">
        <v>107</v>
      </c>
      <c r="B34" s="2">
        <v>902</v>
      </c>
      <c r="C34" s="11">
        <f>'ส.ค.'!M34</f>
        <v>0</v>
      </c>
      <c r="D34" s="11">
        <f>'ส.ค.'!N34</f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'ส.ค.'!M35</f>
        <v>0</v>
      </c>
      <c r="D35" s="11">
        <f>'ส.ค.'!N35</f>
        <v>1829.2699999999982</v>
      </c>
      <c r="E35" s="11"/>
      <c r="F35" s="11"/>
      <c r="G35" s="11">
        <v>7677.38</v>
      </c>
      <c r="H35" s="11">
        <v>15181.21</v>
      </c>
      <c r="I35" s="11"/>
      <c r="J35" s="11"/>
      <c r="K35" s="11"/>
      <c r="L35" s="11"/>
      <c r="M35" s="11">
        <v>0</v>
      </c>
      <c r="N35" s="11">
        <f t="shared" si="1"/>
        <v>9333.099999999995</v>
      </c>
    </row>
    <row r="36" spans="1:14" ht="23.25">
      <c r="A36" s="6" t="s">
        <v>72</v>
      </c>
      <c r="B36" s="7">
        <v>903</v>
      </c>
      <c r="C36" s="11">
        <f>'ส.ค.'!M36</f>
        <v>0</v>
      </c>
      <c r="D36" s="11">
        <f>'ส.ค.'!N36</f>
        <v>567451.5</v>
      </c>
      <c r="E36" s="11"/>
      <c r="F36" s="11"/>
      <c r="G36" s="11">
        <v>117659</v>
      </c>
      <c r="H36" s="11"/>
      <c r="I36" s="11"/>
      <c r="J36" s="11"/>
      <c r="K36" s="11"/>
      <c r="L36" s="11"/>
      <c r="M36" s="11">
        <v>0</v>
      </c>
      <c r="N36" s="11">
        <f t="shared" si="1"/>
        <v>449792.5</v>
      </c>
    </row>
    <row r="37" spans="1:14" ht="23.25">
      <c r="A37" s="1" t="s">
        <v>73</v>
      </c>
      <c r="B37" s="2">
        <v>904</v>
      </c>
      <c r="C37" s="11">
        <f>'ส.ค.'!M37</f>
        <v>1690</v>
      </c>
      <c r="D37" s="11">
        <f>'ส.ค.'!N37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1690</v>
      </c>
      <c r="N37" s="11">
        <v>0</v>
      </c>
    </row>
    <row r="38" spans="1:14" ht="23.25">
      <c r="A38" s="1" t="s">
        <v>74</v>
      </c>
      <c r="B38" s="2" t="s">
        <v>49</v>
      </c>
      <c r="C38" s="11">
        <f>'ส.ค.'!M38</f>
        <v>0</v>
      </c>
      <c r="D38" s="11">
        <f>'ส.ค.'!N38</f>
        <v>0</v>
      </c>
      <c r="E38" s="11"/>
      <c r="F38" s="11"/>
      <c r="G38" s="11"/>
      <c r="H38" s="11"/>
      <c r="I38" s="11"/>
      <c r="J38" s="11"/>
      <c r="K38" s="11"/>
      <c r="L38" s="11"/>
      <c r="M38" s="11">
        <f t="shared" si="0"/>
        <v>0</v>
      </c>
      <c r="N38" s="11">
        <f t="shared" si="1"/>
        <v>0</v>
      </c>
    </row>
    <row r="39" spans="1:14" ht="23.25">
      <c r="A39" s="1" t="s">
        <v>75</v>
      </c>
      <c r="B39" s="2" t="s">
        <v>50</v>
      </c>
      <c r="C39" s="11">
        <f>'ส.ค.'!M39</f>
        <v>0</v>
      </c>
      <c r="D39" s="11">
        <f>'ส.ค.'!N39</f>
        <v>0</v>
      </c>
      <c r="E39" s="11"/>
      <c r="F39" s="11"/>
      <c r="G39" s="11"/>
      <c r="H39" s="11"/>
      <c r="I39" s="11"/>
      <c r="J39" s="11"/>
      <c r="K39" s="11"/>
      <c r="L39" s="11"/>
      <c r="M39" s="11">
        <f t="shared" si="0"/>
        <v>0</v>
      </c>
      <c r="N39" s="11">
        <f t="shared" si="1"/>
        <v>0</v>
      </c>
    </row>
    <row r="40" spans="1:14" ht="23.25">
      <c r="A40" s="1" t="s">
        <v>55</v>
      </c>
      <c r="B40" s="2">
        <v>900</v>
      </c>
      <c r="C40" s="11">
        <f>'ส.ค.'!M40</f>
        <v>0</v>
      </c>
      <c r="D40" s="11">
        <f>'ส.ค.'!N40</f>
        <v>412100</v>
      </c>
      <c r="E40" s="12"/>
      <c r="F40" s="12"/>
      <c r="G40" s="12"/>
      <c r="H40" s="12"/>
      <c r="I40" s="12"/>
      <c r="J40" s="12"/>
      <c r="K40" s="12"/>
      <c r="L40" s="12"/>
      <c r="M40" s="11">
        <v>0</v>
      </c>
      <c r="N40" s="11">
        <f t="shared" si="1"/>
        <v>412100</v>
      </c>
    </row>
    <row r="41" spans="1:14" ht="23.25">
      <c r="A41" s="1" t="s">
        <v>54</v>
      </c>
      <c r="B41" s="2">
        <v>900</v>
      </c>
      <c r="C41" s="11">
        <f>'ส.ค.'!M41</f>
        <v>0</v>
      </c>
      <c r="D41" s="11">
        <f>'ส.ค.'!N41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f t="shared" si="0"/>
        <v>0</v>
      </c>
      <c r="N41" s="11">
        <v>0</v>
      </c>
    </row>
    <row r="42" spans="1:14" ht="23.25">
      <c r="A42" s="1" t="s">
        <v>56</v>
      </c>
      <c r="B42" s="2">
        <v>900</v>
      </c>
      <c r="C42" s="11">
        <f>'ส.ค.'!M42</f>
        <v>0</v>
      </c>
      <c r="D42" s="11">
        <f>'ส.ค.'!N42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'ส.ค.'!M43</f>
        <v>0</v>
      </c>
      <c r="D43" s="11">
        <f>'ส.ค.'!N43</f>
        <v>0</v>
      </c>
      <c r="E43" s="11"/>
      <c r="F43" s="11"/>
      <c r="G43" s="12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'ส.ค.'!M44</f>
        <v>0</v>
      </c>
      <c r="D44" s="11">
        <f>'ส.ค.'!N44</f>
        <v>0</v>
      </c>
      <c r="E44" s="11"/>
      <c r="F44" s="11"/>
      <c r="G44" s="11">
        <v>33780</v>
      </c>
      <c r="H44" s="11"/>
      <c r="I44" s="11"/>
      <c r="J44" s="11"/>
      <c r="K44" s="11"/>
      <c r="L44" s="11"/>
      <c r="M44" s="11">
        <f t="shared" si="0"/>
        <v>33780</v>
      </c>
      <c r="N44" s="11">
        <v>0</v>
      </c>
    </row>
    <row r="45" spans="1:14" ht="23.25">
      <c r="A45" s="6" t="s">
        <v>58</v>
      </c>
      <c r="B45" s="2">
        <v>900</v>
      </c>
      <c r="C45" s="11">
        <f>'ส.ค.'!M45</f>
        <v>0</v>
      </c>
      <c r="D45" s="11">
        <f>'ส.ค.'!N45</f>
        <v>0</v>
      </c>
      <c r="E45" s="11"/>
      <c r="F45" s="11"/>
      <c r="G45" s="11">
        <v>8460</v>
      </c>
      <c r="H45" s="11"/>
      <c r="I45" s="11"/>
      <c r="J45" s="11"/>
      <c r="K45" s="11"/>
      <c r="L45" s="11"/>
      <c r="M45" s="11">
        <f t="shared" si="0"/>
        <v>8460</v>
      </c>
      <c r="N45" s="11">
        <v>0</v>
      </c>
    </row>
    <row r="46" spans="1:14" ht="23.25">
      <c r="A46" s="1" t="s">
        <v>158</v>
      </c>
      <c r="B46" s="2">
        <v>900</v>
      </c>
      <c r="C46" s="11">
        <f>'ส.ค.'!M46</f>
        <v>0</v>
      </c>
      <c r="D46" s="11">
        <f>'ส.ค.'!N46</f>
        <v>0</v>
      </c>
      <c r="E46" s="11"/>
      <c r="F46" s="11"/>
      <c r="G46" s="11">
        <v>2150</v>
      </c>
      <c r="H46" s="11"/>
      <c r="I46" s="11"/>
      <c r="J46" s="11"/>
      <c r="K46" s="11"/>
      <c r="L46" s="11"/>
      <c r="M46" s="11">
        <f t="shared" si="0"/>
        <v>2150</v>
      </c>
      <c r="N46" s="11">
        <v>0</v>
      </c>
    </row>
    <row r="47" spans="1:14" ht="23.25">
      <c r="A47" s="1" t="s">
        <v>166</v>
      </c>
      <c r="B47" s="2">
        <v>900</v>
      </c>
      <c r="C47" s="11">
        <f>'ส.ค.'!M47</f>
        <v>0</v>
      </c>
      <c r="D47" s="11">
        <f>'ส.ค.'!N47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'ส.ค.'!M48</f>
        <v>0</v>
      </c>
      <c r="D48" s="11">
        <f>'ส.ค.'!N48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f t="shared" si="0"/>
        <v>0</v>
      </c>
      <c r="N48" s="11">
        <f t="shared" si="1"/>
        <v>0</v>
      </c>
    </row>
    <row r="49" spans="1:15" ht="23.25">
      <c r="A49" s="1" t="s">
        <v>61</v>
      </c>
      <c r="B49" s="2" t="s">
        <v>34</v>
      </c>
      <c r="C49" s="11">
        <f>'ส.ค.'!M49</f>
        <v>0</v>
      </c>
      <c r="D49" s="11">
        <f>'ส.ค.'!N49</f>
        <v>1213554</v>
      </c>
      <c r="E49" s="11"/>
      <c r="F49" s="11"/>
      <c r="G49" s="11"/>
      <c r="H49" s="11"/>
      <c r="I49" s="11"/>
      <c r="J49" s="11"/>
      <c r="K49" s="11"/>
      <c r="L49" s="11"/>
      <c r="M49" s="11">
        <v>0</v>
      </c>
      <c r="N49" s="11">
        <f t="shared" si="1"/>
        <v>1213554</v>
      </c>
      <c r="O49" s="52"/>
    </row>
    <row r="50" spans="1:15" ht="23.25">
      <c r="A50" s="1" t="s">
        <v>62</v>
      </c>
      <c r="B50" s="2" t="s">
        <v>34</v>
      </c>
      <c r="C50" s="11">
        <f>'ส.ค.'!M50</f>
        <v>0</v>
      </c>
      <c r="D50" s="11">
        <f>'ส.ค.'!N50</f>
        <v>14542.77</v>
      </c>
      <c r="E50" s="11"/>
      <c r="F50" s="11">
        <v>1832.71</v>
      </c>
      <c r="G50" s="11"/>
      <c r="H50" s="11"/>
      <c r="I50" s="11"/>
      <c r="J50" s="11"/>
      <c r="K50" s="11"/>
      <c r="L50" s="11"/>
      <c r="M50" s="11">
        <v>0</v>
      </c>
      <c r="N50" s="11">
        <f t="shared" si="1"/>
        <v>16375.48</v>
      </c>
      <c r="O50" s="52"/>
    </row>
    <row r="51" spans="1:15" ht="23.25">
      <c r="A51" s="1" t="s">
        <v>144</v>
      </c>
      <c r="B51" s="2">
        <v>900</v>
      </c>
      <c r="C51" s="11">
        <f>'ส.ค.'!M51</f>
        <v>0</v>
      </c>
      <c r="D51" s="11">
        <f>'ส.ค.'!N51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f t="shared" si="0"/>
        <v>0</v>
      </c>
      <c r="N51" s="11">
        <f t="shared" si="1"/>
        <v>0</v>
      </c>
      <c r="O51" s="52"/>
    </row>
    <row r="52" spans="1:14" ht="23.25">
      <c r="A52" s="1" t="s">
        <v>64</v>
      </c>
      <c r="B52" s="2">
        <v>900</v>
      </c>
      <c r="C52" s="11">
        <f>'ส.ค.'!M52</f>
        <v>0</v>
      </c>
      <c r="D52" s="11">
        <f>'ส.ค.'!N52</f>
        <v>8500</v>
      </c>
      <c r="E52" s="11"/>
      <c r="F52" s="11">
        <v>1500</v>
      </c>
      <c r="G52" s="11"/>
      <c r="H52" s="11"/>
      <c r="I52" s="11"/>
      <c r="J52" s="11"/>
      <c r="K52" s="11">
        <v>10000</v>
      </c>
      <c r="L52" s="11"/>
      <c r="M52" s="11">
        <v>0</v>
      </c>
      <c r="N52" s="11">
        <f t="shared" si="1"/>
        <v>0</v>
      </c>
    </row>
    <row r="53" spans="1:14" ht="23.25">
      <c r="A53" s="1" t="s">
        <v>65</v>
      </c>
      <c r="B53" s="2">
        <v>900</v>
      </c>
      <c r="C53" s="11">
        <f>'ส.ค.'!M53</f>
        <v>0</v>
      </c>
      <c r="D53" s="11">
        <f>'ส.ค.'!N53</f>
        <v>2500</v>
      </c>
      <c r="E53" s="11"/>
      <c r="F53" s="11">
        <v>500</v>
      </c>
      <c r="G53" s="11"/>
      <c r="H53" s="11"/>
      <c r="I53" s="11"/>
      <c r="J53" s="11"/>
      <c r="K53" s="11">
        <v>3000</v>
      </c>
      <c r="L53" s="11"/>
      <c r="M53" s="11">
        <v>0</v>
      </c>
      <c r="N53" s="11">
        <f t="shared" si="1"/>
        <v>0</v>
      </c>
    </row>
    <row r="54" spans="1:14" ht="23.25">
      <c r="A54" s="1" t="s">
        <v>66</v>
      </c>
      <c r="B54" s="2">
        <v>900</v>
      </c>
      <c r="C54" s="11">
        <f>'ส.ค.'!M54</f>
        <v>0</v>
      </c>
      <c r="D54" s="11">
        <f>'ส.ค.'!N54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f t="shared" si="0"/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f>'ส.ค.'!M55</f>
        <v>0</v>
      </c>
      <c r="D55" s="11">
        <f>'ส.ค.'!N55</f>
        <v>20000</v>
      </c>
      <c r="E55" s="11"/>
      <c r="F55" s="11"/>
      <c r="G55" s="11">
        <v>20000</v>
      </c>
      <c r="H55" s="11"/>
      <c r="I55" s="11"/>
      <c r="J55" s="11"/>
      <c r="K55" s="11"/>
      <c r="L55" s="11"/>
      <c r="M55" s="11">
        <v>0</v>
      </c>
      <c r="N55" s="11">
        <f t="shared" si="1"/>
        <v>0</v>
      </c>
    </row>
    <row r="56" spans="1:14" ht="23.25">
      <c r="A56" s="1" t="s">
        <v>142</v>
      </c>
      <c r="B56" s="2" t="s">
        <v>34</v>
      </c>
      <c r="C56" s="11">
        <f>'ส.ค.'!M56</f>
        <v>0</v>
      </c>
      <c r="D56" s="11">
        <f>'ส.ค.'!N56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f t="shared" si="0"/>
        <v>0</v>
      </c>
      <c r="N56" s="11">
        <f t="shared" si="1"/>
        <v>0</v>
      </c>
    </row>
    <row r="57" spans="1:14" ht="23.25">
      <c r="A57" s="1" t="s">
        <v>299</v>
      </c>
      <c r="B57" s="2" t="s">
        <v>34</v>
      </c>
      <c r="C57" s="11">
        <f>'ส.ค.'!M57</f>
        <v>0</v>
      </c>
      <c r="D57" s="11">
        <f>'ส.ค.'!N57</f>
        <v>921</v>
      </c>
      <c r="E57" s="11"/>
      <c r="F57" s="11"/>
      <c r="G57" s="11">
        <v>921</v>
      </c>
      <c r="H57" s="11"/>
      <c r="I57" s="11"/>
      <c r="J57" s="11"/>
      <c r="K57" s="11"/>
      <c r="L57" s="11"/>
      <c r="M57" s="11">
        <v>0</v>
      </c>
      <c r="N57" s="11">
        <f t="shared" si="1"/>
        <v>0</v>
      </c>
    </row>
    <row r="58" spans="1:14" ht="23.25">
      <c r="A58" s="1" t="s">
        <v>292</v>
      </c>
      <c r="B58" s="2" t="s">
        <v>34</v>
      </c>
      <c r="C58" s="11">
        <f>'ส.ค.'!M58</f>
        <v>0</v>
      </c>
      <c r="D58" s="11">
        <f>'ส.ค.'!N58</f>
        <v>295</v>
      </c>
      <c r="E58" s="12"/>
      <c r="F58" s="12"/>
      <c r="G58" s="12"/>
      <c r="H58" s="12"/>
      <c r="I58" s="12"/>
      <c r="J58" s="12"/>
      <c r="K58" s="12">
        <v>295</v>
      </c>
      <c r="L58" s="12"/>
      <c r="M58" s="11">
        <v>0</v>
      </c>
      <c r="N58" s="11">
        <f t="shared" si="1"/>
        <v>0</v>
      </c>
    </row>
    <row r="59" spans="1:14" ht="23.25">
      <c r="A59" s="1" t="s">
        <v>70</v>
      </c>
      <c r="B59" s="2" t="s">
        <v>34</v>
      </c>
      <c r="C59" s="11">
        <f>'ส.ค.'!M59</f>
        <v>0</v>
      </c>
      <c r="D59" s="11">
        <f>'ส.ค.'!N59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f t="shared" si="0"/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'ส.ค.'!M60</f>
        <v>0</v>
      </c>
      <c r="D60" s="11">
        <f>'ส.ค.'!N60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f t="shared" si="0"/>
        <v>0</v>
      </c>
      <c r="N60" s="11">
        <v>0</v>
      </c>
    </row>
    <row r="61" spans="1:14" ht="23.25">
      <c r="A61" s="1" t="s">
        <v>129</v>
      </c>
      <c r="B61" s="2" t="s">
        <v>163</v>
      </c>
      <c r="C61" s="11">
        <f>'ส.ค.'!M61</f>
        <v>0</v>
      </c>
      <c r="D61" s="11">
        <f>'ส.ค.'!N61</f>
        <v>4364.44</v>
      </c>
      <c r="E61" s="11"/>
      <c r="F61" s="11"/>
      <c r="G61" s="11"/>
      <c r="H61" s="11"/>
      <c r="I61" s="11"/>
      <c r="J61" s="11"/>
      <c r="K61" s="11">
        <v>4364.44</v>
      </c>
      <c r="L61" s="11"/>
      <c r="M61" s="11">
        <v>0</v>
      </c>
      <c r="N61" s="11">
        <f t="shared" si="1"/>
        <v>0</v>
      </c>
    </row>
    <row r="62" spans="1:14" ht="23.25">
      <c r="A62" s="1" t="s">
        <v>298</v>
      </c>
      <c r="B62" s="2" t="s">
        <v>34</v>
      </c>
      <c r="C62" s="11">
        <f>'ส.ค.'!M62</f>
        <v>0</v>
      </c>
      <c r="D62" s="11">
        <f>'ส.ค.'!N62</f>
        <v>299500</v>
      </c>
      <c r="E62" s="11"/>
      <c r="F62" s="11"/>
      <c r="G62" s="11">
        <v>297244</v>
      </c>
      <c r="H62" s="11"/>
      <c r="I62" s="11"/>
      <c r="J62" s="11"/>
      <c r="K62" s="11"/>
      <c r="L62" s="11"/>
      <c r="M62" s="11">
        <v>0</v>
      </c>
      <c r="N62" s="11">
        <f t="shared" si="1"/>
        <v>2256</v>
      </c>
    </row>
    <row r="63" spans="1:14" ht="23.25">
      <c r="A63" s="1" t="s">
        <v>278</v>
      </c>
      <c r="B63" s="2" t="s">
        <v>167</v>
      </c>
      <c r="C63" s="11">
        <v>0</v>
      </c>
      <c r="D63" s="11">
        <f>'ส.ค.'!N63</f>
        <v>147877</v>
      </c>
      <c r="E63" s="11"/>
      <c r="F63" s="11">
        <v>100150.45</v>
      </c>
      <c r="G63" s="11">
        <f>30000+59120.45+1030</f>
        <v>90150.45</v>
      </c>
      <c r="H63" s="11"/>
      <c r="I63" s="11"/>
      <c r="J63" s="11"/>
      <c r="K63" s="11"/>
      <c r="L63" s="11"/>
      <c r="M63" s="11">
        <v>0</v>
      </c>
      <c r="N63" s="11">
        <f t="shared" si="1"/>
        <v>157877</v>
      </c>
    </row>
    <row r="64" spans="1:15" ht="23.25">
      <c r="A64" s="1" t="s">
        <v>277</v>
      </c>
      <c r="B64" s="2" t="s">
        <v>163</v>
      </c>
      <c r="C64" s="11">
        <f>'ส.ค.'!M64</f>
        <v>0</v>
      </c>
      <c r="D64" s="11">
        <f>'ส.ค.'!N64</f>
        <v>28500</v>
      </c>
      <c r="E64" s="11"/>
      <c r="F64" s="11"/>
      <c r="G64" s="11"/>
      <c r="H64" s="11"/>
      <c r="I64" s="11"/>
      <c r="J64" s="11"/>
      <c r="K64" s="11"/>
      <c r="L64" s="11">
        <v>10000</v>
      </c>
      <c r="M64" s="11">
        <v>0</v>
      </c>
      <c r="N64" s="11">
        <f t="shared" si="1"/>
        <v>38500</v>
      </c>
      <c r="O64" s="52">
        <f>N64-N52</f>
        <v>38500</v>
      </c>
    </row>
    <row r="65" spans="1:14" ht="23.25">
      <c r="A65" s="1" t="s">
        <v>297</v>
      </c>
      <c r="B65" s="2" t="s">
        <v>167</v>
      </c>
      <c r="C65" s="11">
        <f>'ส.ค.'!M65</f>
        <v>57500</v>
      </c>
      <c r="D65" s="11">
        <f>'ส.ค.'!N65</f>
        <v>0</v>
      </c>
      <c r="E65" s="39"/>
      <c r="F65" s="39"/>
      <c r="G65" s="11"/>
      <c r="H65" s="11"/>
      <c r="I65" s="11"/>
      <c r="J65" s="11"/>
      <c r="K65" s="11"/>
      <c r="L65" s="11">
        <f>67500+3000</f>
        <v>70500</v>
      </c>
      <c r="M65" s="11">
        <v>0</v>
      </c>
      <c r="N65" s="11">
        <f t="shared" si="1"/>
        <v>13000</v>
      </c>
    </row>
    <row r="66" spans="1:14" ht="23.25">
      <c r="A66" s="1" t="s">
        <v>120</v>
      </c>
      <c r="B66" s="2" t="s">
        <v>34</v>
      </c>
      <c r="C66" s="11">
        <f>'ส.ค.'!M66</f>
        <v>0</v>
      </c>
      <c r="D66" s="11">
        <v>0</v>
      </c>
      <c r="E66" s="11"/>
      <c r="F66" s="11"/>
      <c r="G66" s="11">
        <v>107741</v>
      </c>
      <c r="H66" s="11">
        <v>107741</v>
      </c>
      <c r="I66" s="11"/>
      <c r="J66" s="11"/>
      <c r="K66" s="11"/>
      <c r="L66" s="11"/>
      <c r="M66" s="11">
        <f t="shared" si="0"/>
        <v>0</v>
      </c>
      <c r="N66" s="11">
        <f t="shared" si="1"/>
        <v>0</v>
      </c>
    </row>
    <row r="67" spans="1:15" ht="23.25">
      <c r="A67" s="1" t="s">
        <v>165</v>
      </c>
      <c r="B67" s="2" t="s">
        <v>34</v>
      </c>
      <c r="C67" s="11">
        <f>'ส.ค.'!M67</f>
        <v>0</v>
      </c>
      <c r="D67" s="11">
        <f>'ส.ค.'!N67</f>
        <v>0</v>
      </c>
      <c r="E67" s="39"/>
      <c r="F67" s="39"/>
      <c r="G67" s="11">
        <v>45800</v>
      </c>
      <c r="H67" s="11">
        <v>45800</v>
      </c>
      <c r="I67" s="11"/>
      <c r="J67" s="11"/>
      <c r="K67" s="11"/>
      <c r="L67" s="11"/>
      <c r="M67" s="11">
        <f t="shared" si="0"/>
        <v>0</v>
      </c>
      <c r="N67" s="11">
        <v>0</v>
      </c>
      <c r="O67" s="52"/>
    </row>
    <row r="68" spans="1:14" ht="23.25">
      <c r="A68" s="1" t="s">
        <v>169</v>
      </c>
      <c r="B68" s="40" t="s">
        <v>34</v>
      </c>
      <c r="C68" s="11">
        <f>'ส.ค.'!M68</f>
        <v>0</v>
      </c>
      <c r="D68" s="11">
        <f>'ส.ค.'!N68</f>
        <v>0</v>
      </c>
      <c r="E68" s="39"/>
      <c r="F68" s="39"/>
      <c r="G68" s="11"/>
      <c r="H68" s="11"/>
      <c r="I68" s="11"/>
      <c r="J68" s="11"/>
      <c r="K68" s="11"/>
      <c r="L68" s="11"/>
      <c r="M68" s="11">
        <f t="shared" si="0"/>
        <v>0</v>
      </c>
      <c r="N68" s="11">
        <f t="shared" si="1"/>
        <v>0</v>
      </c>
    </row>
    <row r="69" spans="1:14" ht="23.25">
      <c r="A69" s="51" t="s">
        <v>94</v>
      </c>
      <c r="B69" s="40" t="s">
        <v>79</v>
      </c>
      <c r="C69" s="11">
        <f>'ส.ค.'!M69</f>
        <v>0</v>
      </c>
      <c r="D69" s="11">
        <f>'ส.ค.'!N69</f>
        <v>34488</v>
      </c>
      <c r="E69" s="39"/>
      <c r="F69" s="39"/>
      <c r="G69" s="11"/>
      <c r="H69" s="11"/>
      <c r="I69" s="11"/>
      <c r="J69" s="11"/>
      <c r="K69" s="11"/>
      <c r="L69" s="11"/>
      <c r="M69" s="11">
        <v>0</v>
      </c>
      <c r="N69" s="11">
        <f t="shared" si="1"/>
        <v>34488</v>
      </c>
    </row>
    <row r="70" spans="1:14" ht="23.25">
      <c r="A70" s="51" t="s">
        <v>95</v>
      </c>
      <c r="B70" s="40" t="s">
        <v>80</v>
      </c>
      <c r="C70" s="11">
        <f>'ส.ค.'!M70</f>
        <v>0</v>
      </c>
      <c r="D70" s="11">
        <f>'ส.ค.'!N70</f>
        <v>72410.6</v>
      </c>
      <c r="E70" s="39"/>
      <c r="F70" s="39"/>
      <c r="G70" s="11"/>
      <c r="H70" s="11"/>
      <c r="I70" s="11"/>
      <c r="J70" s="11"/>
      <c r="K70" s="11"/>
      <c r="L70" s="11"/>
      <c r="M70" s="11">
        <v>0</v>
      </c>
      <c r="N70" s="11">
        <f t="shared" si="1"/>
        <v>72410.6</v>
      </c>
    </row>
    <row r="71" spans="1:14" ht="23.25">
      <c r="A71" s="51" t="s">
        <v>96</v>
      </c>
      <c r="B71" s="40" t="s">
        <v>81</v>
      </c>
      <c r="C71" s="11">
        <f>'ส.ค.'!M71</f>
        <v>0</v>
      </c>
      <c r="D71" s="11">
        <f>'ส.ค.'!N71</f>
        <v>6053</v>
      </c>
      <c r="E71" s="39"/>
      <c r="F71" s="39"/>
      <c r="G71" s="11"/>
      <c r="H71" s="11"/>
      <c r="I71" s="11"/>
      <c r="J71" s="11"/>
      <c r="K71" s="11"/>
      <c r="L71" s="11"/>
      <c r="M71" s="11">
        <v>0</v>
      </c>
      <c r="N71" s="11">
        <f t="shared" si="1"/>
        <v>6053</v>
      </c>
    </row>
    <row r="72" spans="1:14" ht="23.25">
      <c r="A72" s="51" t="s">
        <v>164</v>
      </c>
      <c r="B72" s="40" t="s">
        <v>162</v>
      </c>
      <c r="C72" s="11">
        <f>'ส.ค.'!M72</f>
        <v>0</v>
      </c>
      <c r="D72" s="11">
        <f>'ส.ค.'!N72</f>
        <v>43350</v>
      </c>
      <c r="E72" s="39"/>
      <c r="F72" s="39"/>
      <c r="G72" s="11"/>
      <c r="H72" s="11"/>
      <c r="I72" s="11"/>
      <c r="J72" s="11">
        <v>9690</v>
      </c>
      <c r="K72" s="11"/>
      <c r="L72" s="11"/>
      <c r="M72" s="11">
        <v>0</v>
      </c>
      <c r="N72" s="11">
        <f aca="true" t="shared" si="2" ref="N72:N91">SUM(D72+F72+H72+J72+L72)-(C72+E72+G72+I72+K72)</f>
        <v>53040</v>
      </c>
    </row>
    <row r="73" spans="1:14" ht="23.25">
      <c r="A73" s="51" t="s">
        <v>97</v>
      </c>
      <c r="B73" s="40" t="s">
        <v>83</v>
      </c>
      <c r="C73" s="11">
        <f>'ส.ค.'!M73</f>
        <v>0</v>
      </c>
      <c r="D73" s="11">
        <f>'ส.ค.'!N73</f>
        <v>4034748.3999999994</v>
      </c>
      <c r="E73" s="39"/>
      <c r="F73" s="39"/>
      <c r="G73" s="11"/>
      <c r="H73" s="11"/>
      <c r="I73" s="11"/>
      <c r="J73" s="11">
        <v>1772759.26</v>
      </c>
      <c r="K73" s="11"/>
      <c r="L73" s="11"/>
      <c r="M73" s="11">
        <v>0</v>
      </c>
      <c r="N73" s="11">
        <f t="shared" si="2"/>
        <v>5807507.659999999</v>
      </c>
    </row>
    <row r="74" spans="1:14" ht="23.25">
      <c r="A74" s="51" t="s">
        <v>125</v>
      </c>
      <c r="B74" s="40" t="s">
        <v>160</v>
      </c>
      <c r="C74" s="11">
        <f>'ส.ค.'!M74</f>
        <v>0</v>
      </c>
      <c r="D74" s="11">
        <f>'ส.ค.'!N74</f>
        <v>1676892.04</v>
      </c>
      <c r="E74" s="39"/>
      <c r="F74" s="39"/>
      <c r="G74" s="11"/>
      <c r="H74" s="11"/>
      <c r="I74" s="11"/>
      <c r="J74" s="11">
        <v>320952.7</v>
      </c>
      <c r="K74" s="11"/>
      <c r="L74" s="11"/>
      <c r="M74" s="11">
        <v>0</v>
      </c>
      <c r="N74" s="11">
        <f t="shared" si="2"/>
        <v>1997844.74</v>
      </c>
    </row>
    <row r="75" spans="1:14" ht="23.25">
      <c r="A75" s="51" t="s">
        <v>123</v>
      </c>
      <c r="B75" s="40" t="s">
        <v>161</v>
      </c>
      <c r="C75" s="11">
        <f>'ส.ค.'!M75</f>
        <v>0</v>
      </c>
      <c r="D75" s="11">
        <f>'ส.ค.'!N75</f>
        <v>161190</v>
      </c>
      <c r="E75" s="39"/>
      <c r="F75" s="39"/>
      <c r="G75" s="11"/>
      <c r="H75" s="11"/>
      <c r="I75" s="11"/>
      <c r="J75" s="11"/>
      <c r="K75" s="11"/>
      <c r="L75" s="11"/>
      <c r="M75" s="11">
        <v>0</v>
      </c>
      <c r="N75" s="11">
        <f t="shared" si="2"/>
        <v>161190</v>
      </c>
    </row>
    <row r="76" spans="1:14" ht="23.25">
      <c r="A76" s="51" t="s">
        <v>98</v>
      </c>
      <c r="B76" s="40" t="s">
        <v>85</v>
      </c>
      <c r="C76" s="11">
        <f>'ส.ค.'!M76</f>
        <v>0</v>
      </c>
      <c r="D76" s="11">
        <f>'ส.ค.'!N76</f>
        <v>1031806.87</v>
      </c>
      <c r="E76" s="39"/>
      <c r="F76" s="39"/>
      <c r="G76" s="11"/>
      <c r="H76" s="11"/>
      <c r="I76" s="11"/>
      <c r="J76" s="11">
        <v>94873.39</v>
      </c>
      <c r="K76" s="11"/>
      <c r="L76" s="11"/>
      <c r="M76" s="11">
        <v>0</v>
      </c>
      <c r="N76" s="11">
        <f t="shared" si="2"/>
        <v>1126680.26</v>
      </c>
    </row>
    <row r="77" spans="1:14" ht="23.25">
      <c r="A77" s="51" t="s">
        <v>99</v>
      </c>
      <c r="B77" s="40" t="s">
        <v>86</v>
      </c>
      <c r="C77" s="11">
        <f>'ส.ค.'!M77</f>
        <v>0</v>
      </c>
      <c r="D77" s="11">
        <f>'ส.ค.'!N77</f>
        <v>2782248.05</v>
      </c>
      <c r="E77" s="39"/>
      <c r="F77" s="39"/>
      <c r="G77" s="11"/>
      <c r="H77" s="11"/>
      <c r="I77" s="11"/>
      <c r="J77" s="11">
        <v>268651.13</v>
      </c>
      <c r="K77" s="11"/>
      <c r="L77" s="11"/>
      <c r="M77" s="11">
        <v>0</v>
      </c>
      <c r="N77" s="11">
        <f t="shared" si="2"/>
        <v>3050899.1799999997</v>
      </c>
    </row>
    <row r="78" spans="1:14" ht="23.25">
      <c r="A78" s="51" t="s">
        <v>100</v>
      </c>
      <c r="B78" s="40" t="s">
        <v>87</v>
      </c>
      <c r="C78" s="11">
        <f>'ส.ค.'!M78</f>
        <v>0</v>
      </c>
      <c r="D78" s="11">
        <f>'ส.ค.'!N78</f>
        <v>20931.02</v>
      </c>
      <c r="E78" s="39"/>
      <c r="F78" s="39"/>
      <c r="G78" s="11"/>
      <c r="H78" s="11"/>
      <c r="I78" s="11"/>
      <c r="J78" s="11">
        <v>20814.01</v>
      </c>
      <c r="K78" s="11"/>
      <c r="L78" s="11"/>
      <c r="M78" s="11">
        <v>0</v>
      </c>
      <c r="N78" s="11">
        <f t="shared" si="2"/>
        <v>41745.03</v>
      </c>
    </row>
    <row r="79" spans="1:14" ht="23.25">
      <c r="A79" s="51" t="s">
        <v>293</v>
      </c>
      <c r="B79" s="40" t="s">
        <v>87</v>
      </c>
      <c r="C79" s="11">
        <f>'ส.ค.'!M79</f>
        <v>0</v>
      </c>
      <c r="D79" s="11">
        <f>'ส.ค.'!N79</f>
        <v>38301.61</v>
      </c>
      <c r="E79" s="39"/>
      <c r="F79" s="39"/>
      <c r="G79" s="11"/>
      <c r="H79" s="11"/>
      <c r="I79" s="11"/>
      <c r="J79" s="11">
        <v>18403.49</v>
      </c>
      <c r="K79" s="11"/>
      <c r="L79" s="11"/>
      <c r="M79" s="11">
        <v>0</v>
      </c>
      <c r="N79" s="11">
        <f t="shared" si="2"/>
        <v>56705.100000000006</v>
      </c>
    </row>
    <row r="80" spans="1:14" ht="23.25">
      <c r="A80" s="51" t="s">
        <v>280</v>
      </c>
      <c r="B80" s="40" t="s">
        <v>88</v>
      </c>
      <c r="C80" s="11">
        <f>'ส.ค.'!M80</f>
        <v>0</v>
      </c>
      <c r="D80" s="11">
        <f>'ส.ค.'!N80</f>
        <v>2.91</v>
      </c>
      <c r="E80" s="39"/>
      <c r="F80" s="39"/>
      <c r="G80" s="11"/>
      <c r="H80" s="11"/>
      <c r="I80" s="11"/>
      <c r="J80" s="11"/>
      <c r="K80" s="11"/>
      <c r="L80" s="11"/>
      <c r="M80" s="11">
        <v>0</v>
      </c>
      <c r="N80" s="11">
        <f t="shared" si="2"/>
        <v>2.91</v>
      </c>
    </row>
    <row r="81" spans="1:14" ht="23.25">
      <c r="A81" s="51" t="s">
        <v>124</v>
      </c>
      <c r="B81" s="40" t="s">
        <v>89</v>
      </c>
      <c r="C81" s="11">
        <f>'ส.ค.'!M81</f>
        <v>0</v>
      </c>
      <c r="D81" s="11">
        <f>'ส.ค.'!N81</f>
        <v>596314</v>
      </c>
      <c r="E81" s="39"/>
      <c r="F81" s="39"/>
      <c r="G81" s="11"/>
      <c r="H81" s="11"/>
      <c r="I81" s="11"/>
      <c r="J81" s="11">
        <v>102121</v>
      </c>
      <c r="K81" s="11"/>
      <c r="L81" s="11"/>
      <c r="M81" s="11">
        <v>0</v>
      </c>
      <c r="N81" s="11">
        <f t="shared" si="2"/>
        <v>698435</v>
      </c>
    </row>
    <row r="82" spans="1:14" ht="23.25">
      <c r="A82" s="51" t="s">
        <v>132</v>
      </c>
      <c r="B82" s="40" t="s">
        <v>133</v>
      </c>
      <c r="C82" s="11">
        <f>'ส.ค.'!M82</f>
        <v>0</v>
      </c>
      <c r="D82" s="11">
        <f>'ส.ค.'!N82</f>
        <v>5000</v>
      </c>
      <c r="E82" s="39"/>
      <c r="F82" s="39"/>
      <c r="G82" s="11"/>
      <c r="H82" s="11"/>
      <c r="I82" s="11"/>
      <c r="J82" s="11"/>
      <c r="K82" s="11"/>
      <c r="L82" s="11"/>
      <c r="M82" s="11">
        <v>0</v>
      </c>
      <c r="N82" s="11">
        <f t="shared" si="2"/>
        <v>5000</v>
      </c>
    </row>
    <row r="83" spans="1:14" ht="23.25">
      <c r="A83" s="51" t="s">
        <v>294</v>
      </c>
      <c r="B83" s="40" t="s">
        <v>90</v>
      </c>
      <c r="C83" s="11">
        <f>'ส.ค.'!M83</f>
        <v>0</v>
      </c>
      <c r="D83" s="11">
        <f>'ส.ค.'!N83</f>
        <v>12905.42</v>
      </c>
      <c r="E83" s="39"/>
      <c r="F83" s="39"/>
      <c r="G83" s="11"/>
      <c r="H83" s="11"/>
      <c r="I83" s="11"/>
      <c r="J83" s="11">
        <v>16104.01</v>
      </c>
      <c r="K83" s="11"/>
      <c r="L83" s="11"/>
      <c r="M83" s="11">
        <v>0</v>
      </c>
      <c r="N83" s="11">
        <f t="shared" si="2"/>
        <v>29009.43</v>
      </c>
    </row>
    <row r="84" spans="1:14" ht="23.25">
      <c r="A84" s="51" t="s">
        <v>295</v>
      </c>
      <c r="B84" s="40" t="s">
        <v>91</v>
      </c>
      <c r="C84" s="11">
        <f>'ส.ค.'!M84</f>
        <v>0</v>
      </c>
      <c r="D84" s="11">
        <f>'ส.ค.'!N84</f>
        <v>7900</v>
      </c>
      <c r="E84" s="39"/>
      <c r="F84" s="39"/>
      <c r="G84" s="11"/>
      <c r="H84" s="11"/>
      <c r="I84" s="11"/>
      <c r="J84" s="11"/>
      <c r="K84" s="11"/>
      <c r="L84" s="11"/>
      <c r="M84" s="11">
        <v>0</v>
      </c>
      <c r="N84" s="11">
        <f t="shared" si="2"/>
        <v>7900</v>
      </c>
    </row>
    <row r="85" spans="1:14" ht="23.25">
      <c r="A85" s="51" t="s">
        <v>104</v>
      </c>
      <c r="B85" s="40" t="s">
        <v>92</v>
      </c>
      <c r="C85" s="11">
        <f>'ส.ค.'!M85</f>
        <v>0</v>
      </c>
      <c r="D85" s="11">
        <f>'ส.ค.'!N85</f>
        <v>62356</v>
      </c>
      <c r="E85" s="39"/>
      <c r="F85" s="39"/>
      <c r="G85" s="11"/>
      <c r="H85" s="11"/>
      <c r="I85" s="11"/>
      <c r="J85" s="11">
        <v>635</v>
      </c>
      <c r="K85" s="11"/>
      <c r="L85" s="11"/>
      <c r="M85" s="11">
        <v>0</v>
      </c>
      <c r="N85" s="11">
        <f t="shared" si="2"/>
        <v>62991</v>
      </c>
    </row>
    <row r="86" spans="1:14" ht="23.25">
      <c r="A86" s="51" t="s">
        <v>105</v>
      </c>
      <c r="B86" s="40" t="s">
        <v>93</v>
      </c>
      <c r="C86" s="11">
        <f>'ส.ค.'!M86</f>
        <v>0</v>
      </c>
      <c r="D86" s="11">
        <f>'ส.ค.'!N86</f>
        <v>10264971</v>
      </c>
      <c r="E86" s="39"/>
      <c r="F86" s="39"/>
      <c r="G86" s="11"/>
      <c r="H86" s="11"/>
      <c r="I86" s="11"/>
      <c r="J86" s="11"/>
      <c r="K86" s="11"/>
      <c r="L86" s="11"/>
      <c r="M86" s="11">
        <v>0</v>
      </c>
      <c r="N86" s="11">
        <f t="shared" si="2"/>
        <v>10264971</v>
      </c>
    </row>
    <row r="87" spans="1:14" ht="23.25">
      <c r="A87" s="1" t="s">
        <v>106</v>
      </c>
      <c r="B87" s="40" t="s">
        <v>133</v>
      </c>
      <c r="C87" s="11">
        <f>'ส.ค.'!M87</f>
        <v>0</v>
      </c>
      <c r="D87" s="11">
        <f>'ส.ค.'!N87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 t="shared" si="2"/>
        <v>53000</v>
      </c>
    </row>
    <row r="88" spans="1:14" ht="23.25">
      <c r="A88" s="51" t="s">
        <v>140</v>
      </c>
      <c r="B88" s="40" t="s">
        <v>159</v>
      </c>
      <c r="C88" s="11">
        <f>'ส.ค.'!M88</f>
        <v>0</v>
      </c>
      <c r="D88" s="11">
        <f>'ส.ค.'!N88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f>SUM(C88+E88+G88+I88+K88)-(D88+F88+H88+J88+L88)</f>
        <v>0</v>
      </c>
      <c r="N88" s="11">
        <f t="shared" si="2"/>
        <v>0</v>
      </c>
    </row>
    <row r="89" spans="1:14" ht="23.25">
      <c r="A89" s="1" t="s">
        <v>143</v>
      </c>
      <c r="B89" s="53"/>
      <c r="C89" s="11">
        <f>'ส.ค.'!M89</f>
        <v>0</v>
      </c>
      <c r="D89" s="11">
        <f>'ส.ค.'!N89</f>
        <v>0</v>
      </c>
      <c r="E89" s="39"/>
      <c r="F89" s="39"/>
      <c r="G89" s="39"/>
      <c r="H89" s="39"/>
      <c r="I89" s="39"/>
      <c r="J89" s="39"/>
      <c r="K89" s="39"/>
      <c r="L89" s="39"/>
      <c r="M89" s="11">
        <f>SUM(C89+E89+G89+I89+K89)-(D89+F89+H89+J89+L89)</f>
        <v>0</v>
      </c>
      <c r="N89" s="11">
        <f t="shared" si="2"/>
        <v>0</v>
      </c>
    </row>
    <row r="90" spans="1:14" ht="23.25">
      <c r="A90" s="282" t="s">
        <v>307</v>
      </c>
      <c r="B90" s="283" t="s">
        <v>168</v>
      </c>
      <c r="C90" s="11">
        <f>'ส.ค.'!M90</f>
        <v>0</v>
      </c>
      <c r="D90" s="11">
        <f>'ส.ค.'!N90</f>
        <v>0</v>
      </c>
      <c r="E90" s="39"/>
      <c r="F90" s="39">
        <v>40000</v>
      </c>
      <c r="G90" s="39"/>
      <c r="H90" s="39"/>
      <c r="I90" s="39"/>
      <c r="J90" s="39">
        <v>0</v>
      </c>
      <c r="K90" s="39"/>
      <c r="L90" s="39"/>
      <c r="M90" s="11">
        <v>0</v>
      </c>
      <c r="N90" s="11">
        <f t="shared" si="2"/>
        <v>40000</v>
      </c>
    </row>
    <row r="91" spans="1:14" ht="23.25">
      <c r="A91" s="285" t="s">
        <v>308</v>
      </c>
      <c r="B91" s="8" t="s">
        <v>168</v>
      </c>
      <c r="C91" s="11">
        <f>'ส.ค.'!M91</f>
        <v>0</v>
      </c>
      <c r="D91" s="11">
        <f>'ส.ค.'!N91</f>
        <v>53500</v>
      </c>
      <c r="E91" s="13"/>
      <c r="F91" s="13"/>
      <c r="G91" s="13"/>
      <c r="H91" s="13"/>
      <c r="I91" s="13"/>
      <c r="J91" s="13"/>
      <c r="K91" s="13"/>
      <c r="L91" s="13"/>
      <c r="M91" s="11">
        <v>0</v>
      </c>
      <c r="N91" s="11">
        <f t="shared" si="2"/>
        <v>53500</v>
      </c>
    </row>
    <row r="92" spans="1:15" ht="24" thickBot="1">
      <c r="A92" s="3"/>
      <c r="B92" s="4"/>
      <c r="C92" s="42">
        <f>SUM(C6:C91)</f>
        <v>27715648.200000003</v>
      </c>
      <c r="D92" s="42">
        <f>SUM(D6:D91)</f>
        <v>27715648.2</v>
      </c>
      <c r="E92" s="42">
        <f>SUM(E6:E91)</f>
        <v>2768987.15</v>
      </c>
      <c r="F92" s="42">
        <f>SUM(F6:F91)</f>
        <v>2768987.1500000004</v>
      </c>
      <c r="G92" s="42">
        <f aca="true" t="shared" si="3" ref="G92:N92">SUM(G6:G91)</f>
        <v>2935814.46</v>
      </c>
      <c r="H92" s="42">
        <f t="shared" si="3"/>
        <v>2935814.46</v>
      </c>
      <c r="I92" s="42">
        <f t="shared" si="3"/>
        <v>2625003.99</v>
      </c>
      <c r="J92" s="42">
        <f t="shared" si="3"/>
        <v>2625003.9899999998</v>
      </c>
      <c r="K92" s="42">
        <f t="shared" si="3"/>
        <v>2644915.69</v>
      </c>
      <c r="L92" s="42">
        <f t="shared" si="3"/>
        <v>2644915.69</v>
      </c>
      <c r="M92" s="42">
        <f t="shared" si="3"/>
        <v>29905869.73</v>
      </c>
      <c r="N92" s="42">
        <f t="shared" si="3"/>
        <v>29905869.73</v>
      </c>
      <c r="O92" s="52"/>
    </row>
    <row r="93" spans="1:15" ht="24" thickTop="1">
      <c r="A93" s="3"/>
      <c r="B93" s="4"/>
      <c r="C93" s="15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  <c r="O93" s="52"/>
    </row>
    <row r="94" spans="1:67" ht="23.25">
      <c r="A94" s="16"/>
      <c r="B94" s="309"/>
      <c r="C94" s="309"/>
      <c r="D94" s="309"/>
      <c r="E94" s="309"/>
      <c r="F94" s="309"/>
      <c r="G94" s="309"/>
      <c r="H94" s="16"/>
      <c r="I94" s="16"/>
      <c r="J94" s="16"/>
      <c r="K94" s="16"/>
      <c r="L94" s="16"/>
      <c r="M94" s="16"/>
      <c r="N94" s="16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23.25">
      <c r="A95" s="3"/>
      <c r="B95" s="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23.25">
      <c r="A96" s="16"/>
      <c r="B96" s="309"/>
      <c r="C96" s="309"/>
      <c r="D96" s="309"/>
      <c r="E96" s="309"/>
      <c r="F96" s="309"/>
      <c r="G96" s="309"/>
      <c r="H96" s="16"/>
      <c r="I96" s="309"/>
      <c r="J96" s="309"/>
      <c r="K96" s="309"/>
      <c r="L96" s="16"/>
      <c r="M96" s="16"/>
      <c r="N96" s="1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22.5" customHeight="1">
      <c r="A97" s="16"/>
      <c r="B97" s="309"/>
      <c r="C97" s="309"/>
      <c r="D97" s="309"/>
      <c r="E97" s="309"/>
      <c r="F97" s="309"/>
      <c r="G97" s="309"/>
      <c r="H97" s="16"/>
      <c r="I97" s="309"/>
      <c r="J97" s="309"/>
      <c r="K97" s="309"/>
      <c r="L97" s="16"/>
      <c r="M97" s="16"/>
      <c r="N97" s="16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</sheetData>
  <sheetProtection/>
  <mergeCells count="17">
    <mergeCell ref="I96:K96"/>
    <mergeCell ref="B97:D97"/>
    <mergeCell ref="E97:G97"/>
    <mergeCell ref="I97:K97"/>
    <mergeCell ref="B94:D94"/>
    <mergeCell ref="E94:G94"/>
    <mergeCell ref="B96:D96"/>
    <mergeCell ref="E96:G96"/>
    <mergeCell ref="A1:N1"/>
    <mergeCell ref="A2:N2"/>
    <mergeCell ref="K4:L4"/>
    <mergeCell ref="M4:N4"/>
    <mergeCell ref="A4:A5"/>
    <mergeCell ref="C4:D4"/>
    <mergeCell ref="E4:F4"/>
    <mergeCell ref="G4:H4"/>
    <mergeCell ref="I4:J4"/>
  </mergeCells>
  <printOptions/>
  <pageMargins left="0.32" right="0" top="0.5905511811023623" bottom="0.3937007874015748" header="0" footer="0"/>
  <pageSetup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228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6" sqref="I6"/>
    </sheetView>
  </sheetViews>
  <sheetFormatPr defaultColWidth="9.140625" defaultRowHeight="12.75"/>
  <cols>
    <col min="1" max="1" width="49.57421875" style="63" customWidth="1"/>
    <col min="2" max="2" width="6.8515625" style="71" customWidth="1"/>
    <col min="3" max="3" width="11.421875" style="68" customWidth="1"/>
    <col min="4" max="8" width="11.28125" style="68" customWidth="1"/>
    <col min="9" max="9" width="11.28125" style="121" customWidth="1"/>
    <col min="10" max="10" width="11.28125" style="68" customWidth="1"/>
    <col min="11" max="11" width="12.00390625" style="63" customWidth="1"/>
    <col min="12" max="12" width="17.57421875" style="63" customWidth="1"/>
    <col min="13" max="16384" width="9.140625" style="63" customWidth="1"/>
  </cols>
  <sheetData>
    <row r="1" spans="1:49" s="60" customFormat="1" ht="21">
      <c r="A1" s="314" t="s">
        <v>115</v>
      </c>
      <c r="B1" s="314"/>
      <c r="C1" s="314"/>
      <c r="D1" s="314"/>
      <c r="E1" s="314"/>
      <c r="F1" s="314"/>
      <c r="G1" s="314"/>
      <c r="H1" s="314"/>
      <c r="I1" s="314"/>
      <c r="J1" s="314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49" s="60" customFormat="1" ht="18" customHeight="1">
      <c r="A2" s="314" t="s">
        <v>333</v>
      </c>
      <c r="B2" s="314"/>
      <c r="C2" s="314"/>
      <c r="D2" s="314"/>
      <c r="E2" s="314"/>
      <c r="F2" s="314"/>
      <c r="G2" s="314"/>
      <c r="H2" s="314"/>
      <c r="I2" s="314"/>
      <c r="J2" s="314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</row>
    <row r="3" spans="1:10" ht="15.75" customHeight="1" thickBot="1">
      <c r="A3" s="60"/>
      <c r="B3" s="61"/>
      <c r="C3" s="62"/>
      <c r="D3" s="62"/>
      <c r="E3" s="62"/>
      <c r="F3" s="62"/>
      <c r="G3" s="62"/>
      <c r="H3" s="62"/>
      <c r="I3" s="86"/>
      <c r="J3" s="62"/>
    </row>
    <row r="4" spans="1:10" ht="21">
      <c r="A4" s="315" t="s">
        <v>0</v>
      </c>
      <c r="B4" s="87" t="s">
        <v>77</v>
      </c>
      <c r="C4" s="318" t="s">
        <v>145</v>
      </c>
      <c r="D4" s="319"/>
      <c r="E4" s="320" t="s">
        <v>203</v>
      </c>
      <c r="F4" s="319"/>
      <c r="G4" s="320" t="s">
        <v>203</v>
      </c>
      <c r="H4" s="319"/>
      <c r="I4" s="320" t="s">
        <v>204</v>
      </c>
      <c r="J4" s="319"/>
    </row>
    <row r="5" spans="1:10" ht="21">
      <c r="A5" s="316"/>
      <c r="B5" s="88"/>
      <c r="C5" s="310" t="s">
        <v>205</v>
      </c>
      <c r="D5" s="311"/>
      <c r="E5" s="321" t="s">
        <v>206</v>
      </c>
      <c r="F5" s="311"/>
      <c r="G5" s="310" t="s">
        <v>207</v>
      </c>
      <c r="H5" s="310"/>
      <c r="I5" s="321" t="s">
        <v>301</v>
      </c>
      <c r="J5" s="311"/>
    </row>
    <row r="6" spans="1:10" ht="18.75" customHeight="1" thickBot="1">
      <c r="A6" s="317"/>
      <c r="B6" s="89" t="s">
        <v>76</v>
      </c>
      <c r="C6" s="90" t="s">
        <v>3</v>
      </c>
      <c r="D6" s="91" t="s">
        <v>4</v>
      </c>
      <c r="E6" s="92" t="s">
        <v>3</v>
      </c>
      <c r="F6" s="93" t="s">
        <v>4</v>
      </c>
      <c r="G6" s="94" t="s">
        <v>3</v>
      </c>
      <c r="H6" s="91" t="s">
        <v>4</v>
      </c>
      <c r="I6" s="95" t="s">
        <v>3</v>
      </c>
      <c r="J6" s="93" t="s">
        <v>4</v>
      </c>
    </row>
    <row r="7" spans="1:10" ht="23.25">
      <c r="A7" s="6" t="s">
        <v>51</v>
      </c>
      <c r="B7" s="214" t="s">
        <v>5</v>
      </c>
      <c r="C7" s="100">
        <f>'ก.ย.'!M6</f>
        <v>0</v>
      </c>
      <c r="D7" s="96">
        <f>'ก.ย.'!N6</f>
        <v>0</v>
      </c>
      <c r="E7" s="97"/>
      <c r="F7" s="98"/>
      <c r="G7" s="97"/>
      <c r="H7" s="99"/>
      <c r="I7" s="100">
        <f>C7+E7+G7-D7-F7-H7</f>
        <v>0</v>
      </c>
      <c r="J7" s="98">
        <v>0</v>
      </c>
    </row>
    <row r="8" spans="1:10" ht="23.25">
      <c r="A8" s="1" t="s">
        <v>116</v>
      </c>
      <c r="B8" s="215" t="s">
        <v>6</v>
      </c>
      <c r="C8" s="105">
        <f>'ก.ย.'!M7</f>
        <v>0</v>
      </c>
      <c r="D8" s="101">
        <f>'ก.ย.'!N7</f>
        <v>0</v>
      </c>
      <c r="E8" s="102"/>
      <c r="F8" s="103"/>
      <c r="G8" s="102"/>
      <c r="H8" s="104"/>
      <c r="I8" s="105">
        <f aca="true" t="shared" si="0" ref="I8:I71">C8+E8+G8-D8-F8-H8</f>
        <v>0</v>
      </c>
      <c r="J8" s="103">
        <v>0</v>
      </c>
    </row>
    <row r="9" spans="1:10" ht="23.25">
      <c r="A9" s="1" t="s">
        <v>130</v>
      </c>
      <c r="B9" s="215" t="s">
        <v>7</v>
      </c>
      <c r="C9" s="105">
        <f>'ก.ย.'!M8</f>
        <v>571553.6</v>
      </c>
      <c r="D9" s="101">
        <f>'ก.ย.'!N8</f>
        <v>0</v>
      </c>
      <c r="E9" s="102"/>
      <c r="F9" s="103"/>
      <c r="G9" s="102"/>
      <c r="H9" s="104"/>
      <c r="I9" s="105">
        <f t="shared" si="0"/>
        <v>571553.6</v>
      </c>
      <c r="J9" s="103">
        <v>0</v>
      </c>
    </row>
    <row r="10" spans="1:10" ht="23.25">
      <c r="A10" s="1" t="s">
        <v>134</v>
      </c>
      <c r="B10" s="215" t="s">
        <v>7</v>
      </c>
      <c r="C10" s="105">
        <f>'ก.ย.'!M9</f>
        <v>0</v>
      </c>
      <c r="D10" s="101">
        <f>'ก.ย.'!N9</f>
        <v>0</v>
      </c>
      <c r="E10" s="102"/>
      <c r="F10" s="103"/>
      <c r="G10" s="102"/>
      <c r="H10" s="104"/>
      <c r="I10" s="105">
        <f t="shared" si="0"/>
        <v>0</v>
      </c>
      <c r="J10" s="103">
        <v>0</v>
      </c>
    </row>
    <row r="11" spans="1:10" ht="23.25">
      <c r="A11" s="1" t="s">
        <v>117</v>
      </c>
      <c r="B11" s="215" t="s">
        <v>8</v>
      </c>
      <c r="C11" s="105">
        <f>'ก.ย.'!M10</f>
        <v>10051985.700000001</v>
      </c>
      <c r="D11" s="101">
        <f>'ก.ย.'!N10</f>
        <v>0</v>
      </c>
      <c r="E11" s="102"/>
      <c r="F11" s="103"/>
      <c r="G11" s="102"/>
      <c r="H11" s="104"/>
      <c r="I11" s="105">
        <f t="shared" si="0"/>
        <v>10051985.700000001</v>
      </c>
      <c r="J11" s="103">
        <v>0</v>
      </c>
    </row>
    <row r="12" spans="1:11" ht="23.25">
      <c r="A12" s="1" t="s">
        <v>128</v>
      </c>
      <c r="B12" s="215" t="s">
        <v>8</v>
      </c>
      <c r="C12" s="105">
        <f>'ก.ย.'!M11</f>
        <v>1229929.48</v>
      </c>
      <c r="D12" s="101">
        <f>'ก.ย.'!N11</f>
        <v>0</v>
      </c>
      <c r="E12" s="102"/>
      <c r="F12" s="103"/>
      <c r="G12" s="102"/>
      <c r="H12" s="104"/>
      <c r="I12" s="105">
        <f t="shared" si="0"/>
        <v>1229929.48</v>
      </c>
      <c r="J12" s="103">
        <v>0</v>
      </c>
      <c r="K12" s="106">
        <f>I11+I12+I13</f>
        <v>11283539.150000002</v>
      </c>
    </row>
    <row r="13" spans="1:10" ht="23.25">
      <c r="A13" s="1" t="s">
        <v>131</v>
      </c>
      <c r="B13" s="215" t="s">
        <v>8</v>
      </c>
      <c r="C13" s="105">
        <f>'ก.ย.'!M12</f>
        <v>1623.97</v>
      </c>
      <c r="D13" s="101">
        <f>'ก.ย.'!N12</f>
        <v>0</v>
      </c>
      <c r="E13" s="102"/>
      <c r="F13" s="103"/>
      <c r="G13" s="102"/>
      <c r="H13" s="104"/>
      <c r="I13" s="105">
        <f t="shared" si="0"/>
        <v>1623.97</v>
      </c>
      <c r="J13" s="103">
        <v>0</v>
      </c>
    </row>
    <row r="14" spans="1:11" ht="23.25">
      <c r="A14" s="1" t="s">
        <v>39</v>
      </c>
      <c r="B14" s="215" t="s">
        <v>40</v>
      </c>
      <c r="C14" s="105">
        <f>'ก.ย.'!M13</f>
        <v>30000</v>
      </c>
      <c r="D14" s="101">
        <f>'ก.ย.'!N13</f>
        <v>0</v>
      </c>
      <c r="E14" s="102"/>
      <c r="F14" s="103"/>
      <c r="G14" s="102"/>
      <c r="H14" s="104"/>
      <c r="I14" s="105">
        <f t="shared" si="0"/>
        <v>30000</v>
      </c>
      <c r="J14" s="103">
        <v>0</v>
      </c>
      <c r="K14" s="106">
        <f>I9+I11+I12+I13+I14</f>
        <v>11885092.750000002</v>
      </c>
    </row>
    <row r="15" spans="1:10" ht="23.25">
      <c r="A15" s="1" t="s">
        <v>110</v>
      </c>
      <c r="B15" s="215" t="s">
        <v>111</v>
      </c>
      <c r="C15" s="105">
        <f>'ก.ย.'!M14</f>
        <v>0</v>
      </c>
      <c r="D15" s="101">
        <f>'ก.ย.'!N14</f>
        <v>0</v>
      </c>
      <c r="E15" s="102"/>
      <c r="F15" s="103"/>
      <c r="G15" s="102"/>
      <c r="H15" s="104"/>
      <c r="I15" s="105">
        <f t="shared" si="0"/>
        <v>0</v>
      </c>
      <c r="J15" s="103">
        <v>0</v>
      </c>
    </row>
    <row r="16" spans="1:10" ht="23.25">
      <c r="A16" s="1" t="s">
        <v>52</v>
      </c>
      <c r="B16" s="215" t="s">
        <v>9</v>
      </c>
      <c r="C16" s="105">
        <f>'ก.ย.'!M15</f>
        <v>412731</v>
      </c>
      <c r="D16" s="101">
        <f>'ก.ย.'!N15</f>
        <v>0</v>
      </c>
      <c r="E16" s="102">
        <v>1409000</v>
      </c>
      <c r="F16" s="103"/>
      <c r="G16" s="102"/>
      <c r="H16" s="104">
        <f>C16+E16-D16-F16</f>
        <v>1821731</v>
      </c>
      <c r="I16" s="105">
        <f t="shared" si="0"/>
        <v>0</v>
      </c>
      <c r="J16" s="103">
        <f aca="true" t="shared" si="1" ref="J16:J79">D16+F16+H16-E16-C16-G16</f>
        <v>0</v>
      </c>
    </row>
    <row r="17" spans="1:12" ht="23.25">
      <c r="A17" s="6" t="s">
        <v>10</v>
      </c>
      <c r="B17" s="214" t="s">
        <v>11</v>
      </c>
      <c r="C17" s="105">
        <f>'ก.ย.'!M16</f>
        <v>2718235</v>
      </c>
      <c r="D17" s="101">
        <f>'ก.ย.'!N16</f>
        <v>0</v>
      </c>
      <c r="E17" s="102">
        <v>3119557</v>
      </c>
      <c r="F17" s="103"/>
      <c r="G17" s="102"/>
      <c r="H17" s="104">
        <f aca="true" t="shared" si="2" ref="H17:H27">C17+E17-D17-F17</f>
        <v>5837792</v>
      </c>
      <c r="I17" s="105">
        <f t="shared" si="0"/>
        <v>0</v>
      </c>
      <c r="J17" s="103">
        <f t="shared" si="1"/>
        <v>0</v>
      </c>
      <c r="L17" s="106">
        <f>H16+H17+H18+H19+H20+H21+H22+H23+H24+H25</f>
        <v>18567586.98</v>
      </c>
    </row>
    <row r="18" spans="1:12" ht="23.25">
      <c r="A18" s="1" t="s">
        <v>12</v>
      </c>
      <c r="B18" s="215" t="s">
        <v>13</v>
      </c>
      <c r="C18" s="105">
        <f>'ก.ย.'!M17</f>
        <v>0</v>
      </c>
      <c r="D18" s="101">
        <f>'ก.ย.'!N17</f>
        <v>0</v>
      </c>
      <c r="E18" s="102"/>
      <c r="F18" s="103"/>
      <c r="G18" s="102"/>
      <c r="H18" s="104">
        <f t="shared" si="2"/>
        <v>0</v>
      </c>
      <c r="I18" s="105">
        <f t="shared" si="0"/>
        <v>0</v>
      </c>
      <c r="J18" s="103">
        <f t="shared" si="1"/>
        <v>0</v>
      </c>
      <c r="L18" s="106">
        <f>20282609.36-L17</f>
        <v>1715022.379999999</v>
      </c>
    </row>
    <row r="19" spans="1:10" ht="23.25">
      <c r="A19" s="1" t="s">
        <v>14</v>
      </c>
      <c r="B19" s="215" t="s">
        <v>15</v>
      </c>
      <c r="C19" s="105">
        <f>'ก.ย.'!M18</f>
        <v>1628880</v>
      </c>
      <c r="D19" s="101">
        <f>'ก.ย.'!N18</f>
        <v>0</v>
      </c>
      <c r="E19" s="102"/>
      <c r="F19" s="103"/>
      <c r="G19" s="102"/>
      <c r="H19" s="104">
        <f t="shared" si="2"/>
        <v>1628880</v>
      </c>
      <c r="I19" s="105">
        <f t="shared" si="0"/>
        <v>0</v>
      </c>
      <c r="J19" s="103">
        <f t="shared" si="1"/>
        <v>0</v>
      </c>
    </row>
    <row r="20" spans="1:10" ht="23.25">
      <c r="A20" s="1" t="s">
        <v>16</v>
      </c>
      <c r="B20" s="215" t="s">
        <v>17</v>
      </c>
      <c r="C20" s="105">
        <f>'ก.ย.'!M19</f>
        <v>3372051</v>
      </c>
      <c r="D20" s="101">
        <f>'ก.ย.'!N19</f>
        <v>0</v>
      </c>
      <c r="E20" s="275">
        <f>200000+150000+66930+50000+200000+56460+20000</f>
        <v>743390</v>
      </c>
      <c r="F20" s="103">
        <f>E17</f>
        <v>3119557</v>
      </c>
      <c r="G20" s="102">
        <v>0</v>
      </c>
      <c r="H20" s="104">
        <f t="shared" si="2"/>
        <v>995884</v>
      </c>
      <c r="I20" s="105">
        <f t="shared" si="0"/>
        <v>0</v>
      </c>
      <c r="J20" s="103">
        <f t="shared" si="1"/>
        <v>0</v>
      </c>
    </row>
    <row r="21" spans="1:10" ht="23.25">
      <c r="A21" s="1" t="s">
        <v>18</v>
      </c>
      <c r="B21" s="215" t="s">
        <v>19</v>
      </c>
      <c r="C21" s="105">
        <f>'ก.ย.'!M20</f>
        <v>4057241.88</v>
      </c>
      <c r="D21" s="101">
        <f>'ก.ย.'!N20</f>
        <v>0</v>
      </c>
      <c r="E21" s="102"/>
      <c r="F21" s="103">
        <v>1409000</v>
      </c>
      <c r="G21" s="102"/>
      <c r="H21" s="104">
        <f t="shared" si="2"/>
        <v>2648241.88</v>
      </c>
      <c r="I21" s="105">
        <f t="shared" si="0"/>
        <v>0</v>
      </c>
      <c r="J21" s="103">
        <f t="shared" si="1"/>
        <v>0</v>
      </c>
    </row>
    <row r="22" spans="1:10" ht="23.25">
      <c r="A22" s="1" t="s">
        <v>20</v>
      </c>
      <c r="B22" s="215" t="s">
        <v>21</v>
      </c>
      <c r="C22" s="105">
        <f>'ก.ย.'!M21</f>
        <v>2812213.55</v>
      </c>
      <c r="D22" s="101">
        <f>'ก.ย.'!N21</f>
        <v>0</v>
      </c>
      <c r="E22" s="275"/>
      <c r="F22" s="103"/>
      <c r="G22" s="102"/>
      <c r="H22" s="104">
        <f t="shared" si="2"/>
        <v>2812213.55</v>
      </c>
      <c r="I22" s="105">
        <f t="shared" si="0"/>
        <v>0</v>
      </c>
      <c r="J22" s="103">
        <f t="shared" si="1"/>
        <v>0</v>
      </c>
    </row>
    <row r="23" spans="1:10" ht="23.25">
      <c r="A23" s="1" t="s">
        <v>22</v>
      </c>
      <c r="B23" s="215" t="s">
        <v>23</v>
      </c>
      <c r="C23" s="105">
        <f>'ก.ย.'!M22</f>
        <v>144748.55000000002</v>
      </c>
      <c r="D23" s="101">
        <f>'ก.ย.'!N22</f>
        <v>0</v>
      </c>
      <c r="E23" s="102"/>
      <c r="F23" s="103"/>
      <c r="G23" s="102"/>
      <c r="H23" s="104">
        <f t="shared" si="2"/>
        <v>144748.55000000002</v>
      </c>
      <c r="I23" s="105">
        <f t="shared" si="0"/>
        <v>0</v>
      </c>
      <c r="J23" s="103">
        <f t="shared" si="1"/>
        <v>0</v>
      </c>
    </row>
    <row r="24" spans="1:10" ht="23.25">
      <c r="A24" s="1" t="s">
        <v>24</v>
      </c>
      <c r="B24" s="215" t="s">
        <v>25</v>
      </c>
      <c r="C24" s="105">
        <f>'ก.ย.'!M23</f>
        <v>2537000</v>
      </c>
      <c r="D24" s="101">
        <f>'ก.ย.'!N23</f>
        <v>0</v>
      </c>
      <c r="E24" s="102"/>
      <c r="F24" s="103"/>
      <c r="G24" s="102"/>
      <c r="H24" s="104">
        <f t="shared" si="2"/>
        <v>2537000</v>
      </c>
      <c r="I24" s="105">
        <f t="shared" si="0"/>
        <v>0</v>
      </c>
      <c r="J24" s="103">
        <f t="shared" si="1"/>
        <v>0</v>
      </c>
    </row>
    <row r="25" spans="1:10" ht="23.25">
      <c r="A25" s="1" t="s">
        <v>26</v>
      </c>
      <c r="B25" s="215" t="s">
        <v>27</v>
      </c>
      <c r="C25" s="105">
        <f>'ก.ย.'!M24</f>
        <v>141096</v>
      </c>
      <c r="D25" s="101">
        <f>'ก.ย.'!N24</f>
        <v>0</v>
      </c>
      <c r="E25" s="102"/>
      <c r="F25" s="103"/>
      <c r="G25" s="102"/>
      <c r="H25" s="104">
        <f t="shared" si="2"/>
        <v>141096</v>
      </c>
      <c r="I25" s="105">
        <f t="shared" si="0"/>
        <v>0</v>
      </c>
      <c r="J25" s="103">
        <f t="shared" si="1"/>
        <v>0</v>
      </c>
    </row>
    <row r="26" spans="1:10" ht="23.25">
      <c r="A26" s="1" t="s">
        <v>28</v>
      </c>
      <c r="B26" s="215" t="s">
        <v>29</v>
      </c>
      <c r="C26" s="105">
        <f>'ก.ย.'!M25</f>
        <v>95000</v>
      </c>
      <c r="D26" s="101">
        <f>'ก.ย.'!N25</f>
        <v>0</v>
      </c>
      <c r="E26" s="102"/>
      <c r="F26" s="103"/>
      <c r="G26" s="102"/>
      <c r="H26" s="104">
        <f t="shared" si="2"/>
        <v>95000</v>
      </c>
      <c r="I26" s="105">
        <f t="shared" si="0"/>
        <v>0</v>
      </c>
      <c r="J26" s="103"/>
    </row>
    <row r="27" spans="1:10" ht="23.25">
      <c r="A27" s="1" t="s">
        <v>113</v>
      </c>
      <c r="B27" s="215" t="s">
        <v>114</v>
      </c>
      <c r="C27" s="105">
        <f>'ก.ย.'!M26</f>
        <v>55500</v>
      </c>
      <c r="D27" s="101">
        <f>'ก.ย.'!N26</f>
        <v>0</v>
      </c>
      <c r="E27" s="275">
        <f>20000+35617</f>
        <v>55617</v>
      </c>
      <c r="F27" s="103"/>
      <c r="G27" s="102"/>
      <c r="H27" s="104">
        <f t="shared" si="2"/>
        <v>111117</v>
      </c>
      <c r="I27" s="105">
        <f t="shared" si="0"/>
        <v>0</v>
      </c>
      <c r="J27" s="103">
        <f t="shared" si="1"/>
        <v>0</v>
      </c>
    </row>
    <row r="28" spans="1:10" ht="23.25">
      <c r="A28" s="1" t="s">
        <v>41</v>
      </c>
      <c r="B28" s="215" t="s">
        <v>42</v>
      </c>
      <c r="C28" s="105">
        <f>'ก.ย.'!M27</f>
        <v>0</v>
      </c>
      <c r="D28" s="101">
        <f>'ก.ย.'!N27</f>
        <v>0</v>
      </c>
      <c r="E28" s="102"/>
      <c r="F28" s="276">
        <f>E20+E27</f>
        <v>799007</v>
      </c>
      <c r="G28" s="102"/>
      <c r="H28" s="104"/>
      <c r="I28" s="105">
        <v>0</v>
      </c>
      <c r="J28" s="103">
        <f t="shared" si="1"/>
        <v>799007</v>
      </c>
    </row>
    <row r="29" spans="1:10" ht="23.25">
      <c r="A29" s="1" t="s">
        <v>44</v>
      </c>
      <c r="B29" s="215" t="s">
        <v>30</v>
      </c>
      <c r="C29" s="105">
        <f>'ก.ย.'!M28</f>
        <v>0</v>
      </c>
      <c r="D29" s="101">
        <f>'ก.ย.'!N28</f>
        <v>2675202.3499999996</v>
      </c>
      <c r="E29" s="102">
        <v>0</v>
      </c>
      <c r="F29" s="103">
        <v>0</v>
      </c>
      <c r="G29" s="102">
        <f>H30</f>
        <v>1189042.232499999</v>
      </c>
      <c r="H29" s="104">
        <f>'งบรับ-จ่าย'!C38</f>
        <v>4756168.929999996</v>
      </c>
      <c r="I29" s="105">
        <v>0</v>
      </c>
      <c r="J29" s="103">
        <f t="shared" si="1"/>
        <v>6242329.047499997</v>
      </c>
    </row>
    <row r="30" spans="1:10" ht="23.25">
      <c r="A30" s="1" t="s">
        <v>45</v>
      </c>
      <c r="B30" s="215" t="s">
        <v>43</v>
      </c>
      <c r="C30" s="105">
        <f>'ก.ย.'!M29</f>
        <v>0</v>
      </c>
      <c r="D30" s="101">
        <f>'ก.ย.'!N29</f>
        <v>1294506.39</v>
      </c>
      <c r="E30" s="102"/>
      <c r="F30" s="103"/>
      <c r="G30" s="102"/>
      <c r="H30" s="104">
        <f>H29*25/100</f>
        <v>1189042.232499999</v>
      </c>
      <c r="I30" s="105">
        <v>0</v>
      </c>
      <c r="J30" s="103">
        <f t="shared" si="1"/>
        <v>2483548.6224999987</v>
      </c>
    </row>
    <row r="31" spans="1:12" ht="23.25">
      <c r="A31" s="1" t="s">
        <v>53</v>
      </c>
      <c r="B31" s="215" t="s">
        <v>31</v>
      </c>
      <c r="C31" s="105">
        <f>'ก.ย.'!M30</f>
        <v>0</v>
      </c>
      <c r="D31" s="101">
        <f>'ก.ย.'!N30</f>
        <v>0</v>
      </c>
      <c r="E31" s="102"/>
      <c r="F31" s="103"/>
      <c r="G31" s="102"/>
      <c r="H31" s="104"/>
      <c r="I31" s="105">
        <f t="shared" si="0"/>
        <v>0</v>
      </c>
      <c r="J31" s="103">
        <f t="shared" si="1"/>
        <v>0</v>
      </c>
      <c r="L31" s="106"/>
    </row>
    <row r="32" spans="1:10" ht="23.25">
      <c r="A32" s="1" t="s">
        <v>32</v>
      </c>
      <c r="B32" s="215" t="s">
        <v>33</v>
      </c>
      <c r="C32" s="105">
        <f>'ก.ย.'!M31</f>
        <v>0</v>
      </c>
      <c r="D32" s="101">
        <f>'ก.ย.'!N31</f>
        <v>0</v>
      </c>
      <c r="E32" s="102"/>
      <c r="F32" s="103"/>
      <c r="G32" s="102"/>
      <c r="H32" s="104"/>
      <c r="I32" s="105">
        <v>0</v>
      </c>
      <c r="J32" s="103">
        <f t="shared" si="1"/>
        <v>0</v>
      </c>
    </row>
    <row r="33" spans="1:10" ht="23.25">
      <c r="A33" s="1" t="s">
        <v>35</v>
      </c>
      <c r="B33" s="215" t="s">
        <v>46</v>
      </c>
      <c r="C33" s="105">
        <f>'ก.ย.'!M32</f>
        <v>0</v>
      </c>
      <c r="D33" s="101">
        <f>'ก.ย.'!N32</f>
        <v>0</v>
      </c>
      <c r="E33" s="102"/>
      <c r="F33" s="103"/>
      <c r="G33" s="102"/>
      <c r="H33" s="104"/>
      <c r="I33" s="105">
        <f t="shared" si="0"/>
        <v>0</v>
      </c>
      <c r="J33" s="103">
        <f t="shared" si="1"/>
        <v>0</v>
      </c>
    </row>
    <row r="34" spans="1:10" ht="23.25">
      <c r="A34" s="1" t="s">
        <v>136</v>
      </c>
      <c r="B34" s="215" t="s">
        <v>47</v>
      </c>
      <c r="C34" s="105">
        <f>'ก.ย.'!M33</f>
        <v>0</v>
      </c>
      <c r="D34" s="101">
        <f>'ก.ย.'!N33</f>
        <v>0</v>
      </c>
      <c r="E34" s="102"/>
      <c r="F34" s="103"/>
      <c r="G34" s="102"/>
      <c r="H34" s="104"/>
      <c r="I34" s="105">
        <f t="shared" si="0"/>
        <v>0</v>
      </c>
      <c r="J34" s="103">
        <f t="shared" si="1"/>
        <v>0</v>
      </c>
    </row>
    <row r="35" spans="1:10" ht="23.25">
      <c r="A35" s="1" t="s">
        <v>107</v>
      </c>
      <c r="B35" s="215">
        <v>902</v>
      </c>
      <c r="C35" s="105">
        <f>'ก.ย.'!M34</f>
        <v>0</v>
      </c>
      <c r="D35" s="101">
        <f>'ก.ย.'!N34</f>
        <v>0</v>
      </c>
      <c r="E35" s="102"/>
      <c r="F35" s="103"/>
      <c r="G35" s="102"/>
      <c r="H35" s="104"/>
      <c r="I35" s="105">
        <f t="shared" si="0"/>
        <v>0</v>
      </c>
      <c r="J35" s="103">
        <v>0</v>
      </c>
    </row>
    <row r="36" spans="1:10" ht="23.25">
      <c r="A36" s="1" t="s">
        <v>48</v>
      </c>
      <c r="B36" s="215">
        <v>902</v>
      </c>
      <c r="C36" s="105">
        <f>'ก.ย.'!M35</f>
        <v>0</v>
      </c>
      <c r="D36" s="101">
        <f>'ก.ย.'!N35</f>
        <v>9333.099999999995</v>
      </c>
      <c r="E36" s="102"/>
      <c r="F36" s="103"/>
      <c r="G36" s="102"/>
      <c r="H36" s="104"/>
      <c r="I36" s="105">
        <v>0</v>
      </c>
      <c r="J36" s="103">
        <f t="shared" si="1"/>
        <v>9333.099999999995</v>
      </c>
    </row>
    <row r="37" spans="1:10" ht="23.25">
      <c r="A37" s="6" t="s">
        <v>72</v>
      </c>
      <c r="B37" s="214">
        <v>903</v>
      </c>
      <c r="C37" s="105">
        <f>'ก.ย.'!M36</f>
        <v>0</v>
      </c>
      <c r="D37" s="101">
        <f>'ก.ย.'!N36</f>
        <v>449792.5</v>
      </c>
      <c r="E37" s="102"/>
      <c r="F37" s="103"/>
      <c r="G37" s="102"/>
      <c r="H37" s="104"/>
      <c r="I37" s="105">
        <v>0</v>
      </c>
      <c r="J37" s="103">
        <f t="shared" si="1"/>
        <v>449792.5</v>
      </c>
    </row>
    <row r="38" spans="1:10" ht="23.25">
      <c r="A38" s="1" t="s">
        <v>73</v>
      </c>
      <c r="B38" s="215">
        <v>904</v>
      </c>
      <c r="C38" s="105">
        <f>'ก.ย.'!M37</f>
        <v>1690</v>
      </c>
      <c r="D38" s="101">
        <f>'ก.ย.'!N37</f>
        <v>0</v>
      </c>
      <c r="E38" s="102"/>
      <c r="F38" s="103">
        <v>1690</v>
      </c>
      <c r="G38" s="102"/>
      <c r="H38" s="104"/>
      <c r="I38" s="105">
        <v>0</v>
      </c>
      <c r="J38" s="103">
        <v>0</v>
      </c>
    </row>
    <row r="39" spans="1:10" ht="23.25">
      <c r="A39" s="1" t="s">
        <v>74</v>
      </c>
      <c r="B39" s="215" t="s">
        <v>49</v>
      </c>
      <c r="C39" s="105">
        <f>'ก.ย.'!M38</f>
        <v>0</v>
      </c>
      <c r="D39" s="101">
        <f>'ก.ย.'!N38</f>
        <v>0</v>
      </c>
      <c r="E39" s="102"/>
      <c r="F39" s="103"/>
      <c r="G39" s="102"/>
      <c r="H39" s="104"/>
      <c r="I39" s="105">
        <v>0</v>
      </c>
      <c r="J39" s="103">
        <f t="shared" si="1"/>
        <v>0</v>
      </c>
    </row>
    <row r="40" spans="1:10" ht="23.25">
      <c r="A40" s="1" t="s">
        <v>75</v>
      </c>
      <c r="B40" s="215" t="s">
        <v>50</v>
      </c>
      <c r="C40" s="105">
        <f>'ก.ย.'!M39</f>
        <v>0</v>
      </c>
      <c r="D40" s="101">
        <f>'ก.ย.'!N39</f>
        <v>0</v>
      </c>
      <c r="E40" s="102"/>
      <c r="F40" s="103"/>
      <c r="G40" s="102"/>
      <c r="H40" s="104"/>
      <c r="I40" s="105">
        <v>0</v>
      </c>
      <c r="J40" s="103">
        <f t="shared" si="1"/>
        <v>0</v>
      </c>
    </row>
    <row r="41" spans="1:10" ht="23.25">
      <c r="A41" s="1" t="s">
        <v>55</v>
      </c>
      <c r="B41" s="215">
        <v>900</v>
      </c>
      <c r="C41" s="105">
        <f>'ก.ย.'!M40</f>
        <v>0</v>
      </c>
      <c r="D41" s="101">
        <f>'ก.ย.'!N40</f>
        <v>412100</v>
      </c>
      <c r="E41" s="102"/>
      <c r="F41" s="103"/>
      <c r="G41" s="102"/>
      <c r="H41" s="104"/>
      <c r="I41" s="105">
        <v>0</v>
      </c>
      <c r="J41" s="103">
        <f t="shared" si="1"/>
        <v>412100</v>
      </c>
    </row>
    <row r="42" spans="1:10" ht="23.25">
      <c r="A42" s="1" t="s">
        <v>54</v>
      </c>
      <c r="B42" s="215">
        <v>900</v>
      </c>
      <c r="C42" s="105">
        <f>'ก.ย.'!M41</f>
        <v>0</v>
      </c>
      <c r="D42" s="101">
        <f>'ก.ย.'!N41</f>
        <v>0</v>
      </c>
      <c r="E42" s="102"/>
      <c r="F42" s="103"/>
      <c r="G42" s="102"/>
      <c r="H42" s="104"/>
      <c r="I42" s="105">
        <v>0</v>
      </c>
      <c r="J42" s="103">
        <f t="shared" si="1"/>
        <v>0</v>
      </c>
    </row>
    <row r="43" spans="1:10" ht="23.25">
      <c r="A43" s="1" t="s">
        <v>56</v>
      </c>
      <c r="B43" s="215">
        <v>900</v>
      </c>
      <c r="C43" s="105">
        <f>'ก.ย.'!M42</f>
        <v>0</v>
      </c>
      <c r="D43" s="101">
        <f>'ก.ย.'!N42</f>
        <v>0</v>
      </c>
      <c r="E43" s="102"/>
      <c r="F43" s="103"/>
      <c r="G43" s="102"/>
      <c r="H43" s="104"/>
      <c r="I43" s="105">
        <v>0</v>
      </c>
      <c r="J43" s="103">
        <f t="shared" si="1"/>
        <v>0</v>
      </c>
    </row>
    <row r="44" spans="1:10" ht="23.25">
      <c r="A44" s="1" t="s">
        <v>56</v>
      </c>
      <c r="B44" s="215">
        <v>900</v>
      </c>
      <c r="C44" s="105">
        <f>'ก.ย.'!M43</f>
        <v>0</v>
      </c>
      <c r="D44" s="101">
        <f>'ก.ย.'!N43</f>
        <v>0</v>
      </c>
      <c r="E44" s="102"/>
      <c r="F44" s="103"/>
      <c r="G44" s="102"/>
      <c r="H44" s="104"/>
      <c r="I44" s="105">
        <v>0</v>
      </c>
      <c r="J44" s="103">
        <f t="shared" si="1"/>
        <v>0</v>
      </c>
    </row>
    <row r="45" spans="1:10" ht="23.25">
      <c r="A45" s="1" t="s">
        <v>57</v>
      </c>
      <c r="B45" s="214" t="s">
        <v>34</v>
      </c>
      <c r="C45" s="105">
        <f>'ก.ย.'!M44</f>
        <v>33780</v>
      </c>
      <c r="D45" s="101">
        <f>'ก.ย.'!N44</f>
        <v>0</v>
      </c>
      <c r="E45" s="102"/>
      <c r="F45" s="103">
        <v>33780</v>
      </c>
      <c r="G45" s="102"/>
      <c r="H45" s="104"/>
      <c r="I45" s="105">
        <f t="shared" si="0"/>
        <v>0</v>
      </c>
      <c r="J45" s="103">
        <v>0</v>
      </c>
    </row>
    <row r="46" spans="1:10" ht="23.25">
      <c r="A46" s="6" t="s">
        <v>58</v>
      </c>
      <c r="B46" s="215">
        <v>900</v>
      </c>
      <c r="C46" s="105">
        <f>'ก.ย.'!M45</f>
        <v>8460</v>
      </c>
      <c r="D46" s="101">
        <f>'ก.ย.'!N45</f>
        <v>0</v>
      </c>
      <c r="E46" s="102"/>
      <c r="F46" s="103">
        <v>8460</v>
      </c>
      <c r="G46" s="102"/>
      <c r="H46" s="104"/>
      <c r="I46" s="105">
        <f t="shared" si="0"/>
        <v>0</v>
      </c>
      <c r="J46" s="103">
        <v>0</v>
      </c>
    </row>
    <row r="47" spans="1:10" ht="23.25">
      <c r="A47" s="1" t="s">
        <v>158</v>
      </c>
      <c r="B47" s="215">
        <v>900</v>
      </c>
      <c r="C47" s="105">
        <f>'ก.ย.'!M46</f>
        <v>2150</v>
      </c>
      <c r="D47" s="101">
        <f>'ก.ย.'!N46</f>
        <v>0</v>
      </c>
      <c r="E47" s="102"/>
      <c r="F47" s="103">
        <v>2150</v>
      </c>
      <c r="G47" s="102"/>
      <c r="H47" s="104"/>
      <c r="I47" s="105">
        <f t="shared" si="0"/>
        <v>0</v>
      </c>
      <c r="J47" s="103">
        <v>0</v>
      </c>
    </row>
    <row r="48" spans="1:10" ht="23.25">
      <c r="A48" s="1" t="s">
        <v>166</v>
      </c>
      <c r="B48" s="215">
        <v>900</v>
      </c>
      <c r="C48" s="105">
        <f>'ก.ย.'!M47</f>
        <v>0</v>
      </c>
      <c r="D48" s="101">
        <f>'ก.ย.'!N47</f>
        <v>0</v>
      </c>
      <c r="E48" s="102"/>
      <c r="F48" s="103"/>
      <c r="G48" s="102"/>
      <c r="H48" s="104"/>
      <c r="I48" s="105">
        <f t="shared" si="0"/>
        <v>0</v>
      </c>
      <c r="J48" s="103">
        <f t="shared" si="1"/>
        <v>0</v>
      </c>
    </row>
    <row r="49" spans="1:10" ht="23.25">
      <c r="A49" s="1" t="s">
        <v>60</v>
      </c>
      <c r="B49" s="215">
        <v>900</v>
      </c>
      <c r="C49" s="105">
        <f>'ก.ย.'!M48</f>
        <v>0</v>
      </c>
      <c r="D49" s="101">
        <f>'ก.ย.'!N48</f>
        <v>0</v>
      </c>
      <c r="E49" s="102"/>
      <c r="F49" s="103"/>
      <c r="G49" s="102"/>
      <c r="H49" s="104"/>
      <c r="I49" s="105">
        <f t="shared" si="0"/>
        <v>0</v>
      </c>
      <c r="J49" s="103">
        <f t="shared" si="1"/>
        <v>0</v>
      </c>
    </row>
    <row r="50" spans="1:10" ht="23.25">
      <c r="A50" s="1" t="s">
        <v>61</v>
      </c>
      <c r="B50" s="215" t="s">
        <v>34</v>
      </c>
      <c r="C50" s="105">
        <f>'ก.ย.'!M49</f>
        <v>0</v>
      </c>
      <c r="D50" s="101">
        <f>'ก.ย.'!N49</f>
        <v>1213554</v>
      </c>
      <c r="E50" s="102"/>
      <c r="F50" s="103"/>
      <c r="G50" s="102"/>
      <c r="H50" s="104"/>
      <c r="I50" s="105">
        <v>0</v>
      </c>
      <c r="J50" s="103">
        <f t="shared" si="1"/>
        <v>1213554</v>
      </c>
    </row>
    <row r="51" spans="1:10" ht="23.25">
      <c r="A51" s="1" t="s">
        <v>62</v>
      </c>
      <c r="B51" s="215" t="s">
        <v>34</v>
      </c>
      <c r="C51" s="105">
        <f>'ก.ย.'!M50</f>
        <v>0</v>
      </c>
      <c r="D51" s="101">
        <f>'ก.ย.'!N50</f>
        <v>16375.48</v>
      </c>
      <c r="E51" s="102"/>
      <c r="F51" s="103"/>
      <c r="G51" s="102"/>
      <c r="H51" s="104"/>
      <c r="I51" s="105">
        <v>0</v>
      </c>
      <c r="J51" s="103">
        <f t="shared" si="1"/>
        <v>16375.48</v>
      </c>
    </row>
    <row r="52" spans="1:10" ht="23.25">
      <c r="A52" s="1" t="s">
        <v>144</v>
      </c>
      <c r="B52" s="215">
        <v>900</v>
      </c>
      <c r="C52" s="105">
        <f>'ก.ย.'!M51</f>
        <v>0</v>
      </c>
      <c r="D52" s="101">
        <f>'ก.ย.'!N51</f>
        <v>0</v>
      </c>
      <c r="E52" s="102"/>
      <c r="F52" s="103"/>
      <c r="G52" s="102"/>
      <c r="H52" s="104"/>
      <c r="I52" s="105">
        <f t="shared" si="0"/>
        <v>0</v>
      </c>
      <c r="J52" s="103">
        <f t="shared" si="1"/>
        <v>0</v>
      </c>
    </row>
    <row r="53" spans="1:10" ht="23.25">
      <c r="A53" s="1" t="s">
        <v>64</v>
      </c>
      <c r="B53" s="215">
        <v>900</v>
      </c>
      <c r="C53" s="105">
        <f>'ก.ย.'!M52</f>
        <v>0</v>
      </c>
      <c r="D53" s="101">
        <f>'ก.ย.'!N52</f>
        <v>0</v>
      </c>
      <c r="E53" s="102"/>
      <c r="F53" s="103"/>
      <c r="G53" s="102"/>
      <c r="H53" s="104"/>
      <c r="I53" s="105">
        <v>0</v>
      </c>
      <c r="J53" s="103">
        <f t="shared" si="1"/>
        <v>0</v>
      </c>
    </row>
    <row r="54" spans="1:10" ht="23.25">
      <c r="A54" s="1" t="s">
        <v>65</v>
      </c>
      <c r="B54" s="215">
        <v>900</v>
      </c>
      <c r="C54" s="105">
        <f>'ก.ย.'!M53</f>
        <v>0</v>
      </c>
      <c r="D54" s="101">
        <f>'ก.ย.'!N53</f>
        <v>0</v>
      </c>
      <c r="E54" s="102"/>
      <c r="F54" s="103"/>
      <c r="G54" s="102"/>
      <c r="H54" s="104"/>
      <c r="I54" s="105">
        <v>0</v>
      </c>
      <c r="J54" s="103">
        <f t="shared" si="1"/>
        <v>0</v>
      </c>
    </row>
    <row r="55" spans="1:10" ht="23.25">
      <c r="A55" s="1" t="s">
        <v>66</v>
      </c>
      <c r="B55" s="215">
        <v>900</v>
      </c>
      <c r="C55" s="105">
        <f>'ก.ย.'!M54</f>
        <v>0</v>
      </c>
      <c r="D55" s="101">
        <f>'ก.ย.'!N54</f>
        <v>0</v>
      </c>
      <c r="E55" s="102"/>
      <c r="F55" s="103"/>
      <c r="G55" s="102"/>
      <c r="H55" s="104"/>
      <c r="I55" s="105">
        <f t="shared" si="0"/>
        <v>0</v>
      </c>
      <c r="J55" s="103">
        <f t="shared" si="1"/>
        <v>0</v>
      </c>
    </row>
    <row r="56" spans="1:10" ht="23.25">
      <c r="A56" s="1" t="s">
        <v>296</v>
      </c>
      <c r="B56" s="215">
        <v>900</v>
      </c>
      <c r="C56" s="105">
        <f>'ก.ย.'!M55</f>
        <v>0</v>
      </c>
      <c r="D56" s="101">
        <f>'ก.ย.'!N55</f>
        <v>0</v>
      </c>
      <c r="E56" s="102"/>
      <c r="F56" s="103"/>
      <c r="G56" s="102"/>
      <c r="H56" s="104"/>
      <c r="I56" s="105">
        <v>0</v>
      </c>
      <c r="J56" s="103">
        <f t="shared" si="1"/>
        <v>0</v>
      </c>
    </row>
    <row r="57" spans="1:10" ht="23.25">
      <c r="A57" s="1" t="s">
        <v>142</v>
      </c>
      <c r="B57" s="215" t="s">
        <v>34</v>
      </c>
      <c r="C57" s="105">
        <f>'ก.ย.'!M56</f>
        <v>0</v>
      </c>
      <c r="D57" s="101">
        <f>'ก.ย.'!N56</f>
        <v>0</v>
      </c>
      <c r="E57" s="102"/>
      <c r="F57" s="103"/>
      <c r="G57" s="102"/>
      <c r="H57" s="104"/>
      <c r="I57" s="105">
        <f t="shared" si="0"/>
        <v>0</v>
      </c>
      <c r="J57" s="103">
        <f t="shared" si="1"/>
        <v>0</v>
      </c>
    </row>
    <row r="58" spans="1:10" ht="23.25">
      <c r="A58" s="1" t="s">
        <v>299</v>
      </c>
      <c r="B58" s="215" t="s">
        <v>34</v>
      </c>
      <c r="C58" s="105">
        <f>'ก.ย.'!M57</f>
        <v>0</v>
      </c>
      <c r="D58" s="101">
        <f>'ก.ย.'!N57</f>
        <v>0</v>
      </c>
      <c r="E58" s="102"/>
      <c r="F58" s="103"/>
      <c r="G58" s="102"/>
      <c r="H58" s="104"/>
      <c r="I58" s="105">
        <v>0</v>
      </c>
      <c r="J58" s="103">
        <f t="shared" si="1"/>
        <v>0</v>
      </c>
    </row>
    <row r="59" spans="1:10" ht="23.25">
      <c r="A59" s="1" t="s">
        <v>292</v>
      </c>
      <c r="B59" s="215" t="s">
        <v>34</v>
      </c>
      <c r="C59" s="105">
        <f>'ก.ย.'!M58</f>
        <v>0</v>
      </c>
      <c r="D59" s="101">
        <f>'ก.ย.'!N58</f>
        <v>0</v>
      </c>
      <c r="E59" s="102"/>
      <c r="F59" s="103"/>
      <c r="G59" s="102"/>
      <c r="H59" s="104"/>
      <c r="I59" s="105">
        <v>0</v>
      </c>
      <c r="J59" s="103">
        <f t="shared" si="1"/>
        <v>0</v>
      </c>
    </row>
    <row r="60" spans="1:10" ht="23.25">
      <c r="A60" s="1" t="s">
        <v>70</v>
      </c>
      <c r="B60" s="215" t="s">
        <v>34</v>
      </c>
      <c r="C60" s="105">
        <f>'ก.ย.'!M59</f>
        <v>0</v>
      </c>
      <c r="D60" s="101">
        <f>'ก.ย.'!N59</f>
        <v>0</v>
      </c>
      <c r="E60" s="102"/>
      <c r="F60" s="103"/>
      <c r="G60" s="102"/>
      <c r="H60" s="104"/>
      <c r="I60" s="105">
        <f t="shared" si="0"/>
        <v>0</v>
      </c>
      <c r="J60" s="103">
        <f t="shared" si="1"/>
        <v>0</v>
      </c>
    </row>
    <row r="61" spans="1:10" ht="23.25">
      <c r="A61" s="1" t="s">
        <v>127</v>
      </c>
      <c r="B61" s="215" t="s">
        <v>34</v>
      </c>
      <c r="C61" s="105">
        <f>'ก.ย.'!M60</f>
        <v>0</v>
      </c>
      <c r="D61" s="101">
        <f>'ก.ย.'!N60</f>
        <v>0</v>
      </c>
      <c r="E61" s="102"/>
      <c r="F61" s="103"/>
      <c r="G61" s="102"/>
      <c r="H61" s="104"/>
      <c r="I61" s="105">
        <f t="shared" si="0"/>
        <v>0</v>
      </c>
      <c r="J61" s="103">
        <f t="shared" si="1"/>
        <v>0</v>
      </c>
    </row>
    <row r="62" spans="1:10" ht="23.25">
      <c r="A62" s="1" t="s">
        <v>129</v>
      </c>
      <c r="B62" s="215" t="s">
        <v>163</v>
      </c>
      <c r="C62" s="105">
        <f>'ก.ย.'!M61</f>
        <v>0</v>
      </c>
      <c r="D62" s="101">
        <f>'ก.ย.'!N61</f>
        <v>0</v>
      </c>
      <c r="E62" s="102"/>
      <c r="F62" s="103"/>
      <c r="G62" s="102"/>
      <c r="H62" s="104"/>
      <c r="I62" s="105">
        <v>0</v>
      </c>
      <c r="J62" s="103">
        <f t="shared" si="1"/>
        <v>0</v>
      </c>
    </row>
    <row r="63" spans="1:10" ht="23.25">
      <c r="A63" s="1" t="s">
        <v>298</v>
      </c>
      <c r="B63" s="215" t="s">
        <v>34</v>
      </c>
      <c r="C63" s="105">
        <f>'ก.ย.'!M62</f>
        <v>0</v>
      </c>
      <c r="D63" s="101">
        <f>'ก.ย.'!N62</f>
        <v>2256</v>
      </c>
      <c r="E63" s="102"/>
      <c r="F63" s="103"/>
      <c r="G63" s="102"/>
      <c r="H63" s="104"/>
      <c r="I63" s="105">
        <v>0</v>
      </c>
      <c r="J63" s="103">
        <f t="shared" si="1"/>
        <v>2256</v>
      </c>
    </row>
    <row r="64" spans="1:49" ht="23.25">
      <c r="A64" s="1" t="s">
        <v>278</v>
      </c>
      <c r="B64" s="215" t="s">
        <v>34</v>
      </c>
      <c r="C64" s="105">
        <f>'ก.ย.'!M63</f>
        <v>0</v>
      </c>
      <c r="D64" s="101">
        <f>'ก.ย.'!N63</f>
        <v>157877</v>
      </c>
      <c r="E64" s="102">
        <f>F45+F46+F47+F38</f>
        <v>46080</v>
      </c>
      <c r="F64" s="103"/>
      <c r="G64" s="102"/>
      <c r="H64" s="104"/>
      <c r="I64" s="105">
        <v>0</v>
      </c>
      <c r="J64" s="103">
        <f t="shared" si="1"/>
        <v>111797</v>
      </c>
      <c r="K64" s="68">
        <f>124950+40860+74970</f>
        <v>240780</v>
      </c>
      <c r="L64" s="68">
        <f>288940</f>
        <v>288940</v>
      </c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</row>
    <row r="65" spans="1:12" ht="23.25">
      <c r="A65" s="1" t="s">
        <v>277</v>
      </c>
      <c r="B65" s="215" t="s">
        <v>34</v>
      </c>
      <c r="C65" s="105">
        <f>'ก.ย.'!M64</f>
        <v>0</v>
      </c>
      <c r="D65" s="101">
        <f>'ก.ย.'!N64</f>
        <v>38500</v>
      </c>
      <c r="E65" s="102"/>
      <c r="F65" s="103"/>
      <c r="G65" s="102"/>
      <c r="H65" s="104"/>
      <c r="I65" s="290">
        <v>0</v>
      </c>
      <c r="J65" s="103">
        <f t="shared" si="1"/>
        <v>38500</v>
      </c>
      <c r="K65" s="106"/>
      <c r="L65" s="106"/>
    </row>
    <row r="66" spans="1:11" ht="23.25">
      <c r="A66" s="1" t="s">
        <v>297</v>
      </c>
      <c r="B66" s="215" t="s">
        <v>167</v>
      </c>
      <c r="C66" s="105">
        <f>'ก.ย.'!M65</f>
        <v>0</v>
      </c>
      <c r="D66" s="101">
        <f>'ก.ย.'!N65</f>
        <v>13000</v>
      </c>
      <c r="E66" s="275">
        <v>0</v>
      </c>
      <c r="F66" s="103"/>
      <c r="G66" s="102"/>
      <c r="H66" s="104"/>
      <c r="I66" s="105">
        <v>0</v>
      </c>
      <c r="J66" s="103">
        <f t="shared" si="1"/>
        <v>13000</v>
      </c>
      <c r="K66" s="106"/>
    </row>
    <row r="67" spans="1:12" ht="23.25">
      <c r="A67" s="1" t="s">
        <v>120</v>
      </c>
      <c r="B67" s="215" t="s">
        <v>34</v>
      </c>
      <c r="C67" s="105">
        <f>'ก.ย.'!M66</f>
        <v>0</v>
      </c>
      <c r="D67" s="101">
        <f>'ก.ย.'!N66</f>
        <v>0</v>
      </c>
      <c r="E67" s="102"/>
      <c r="F67" s="103"/>
      <c r="G67" s="102"/>
      <c r="H67" s="104"/>
      <c r="I67" s="105">
        <f t="shared" si="0"/>
        <v>0</v>
      </c>
      <c r="J67" s="103">
        <f t="shared" si="1"/>
        <v>0</v>
      </c>
      <c r="L67" s="106"/>
    </row>
    <row r="68" spans="1:12" ht="23.25">
      <c r="A68" s="1" t="s">
        <v>165</v>
      </c>
      <c r="B68" s="215" t="s">
        <v>34</v>
      </c>
      <c r="C68" s="105">
        <f>'ก.ย.'!M67</f>
        <v>0</v>
      </c>
      <c r="D68" s="101">
        <f>'ก.ย.'!N67</f>
        <v>0</v>
      </c>
      <c r="E68" s="102"/>
      <c r="F68" s="103"/>
      <c r="G68" s="102"/>
      <c r="H68" s="104"/>
      <c r="I68" s="105">
        <f t="shared" si="0"/>
        <v>0</v>
      </c>
      <c r="J68" s="103">
        <f t="shared" si="1"/>
        <v>0</v>
      </c>
      <c r="L68" s="106"/>
    </row>
    <row r="69" spans="1:10" ht="23.25">
      <c r="A69" s="1" t="s">
        <v>169</v>
      </c>
      <c r="B69" s="216" t="s">
        <v>34</v>
      </c>
      <c r="C69" s="105">
        <f>'ก.ย.'!M68</f>
        <v>0</v>
      </c>
      <c r="D69" s="101">
        <f>'ก.ย.'!N68</f>
        <v>0</v>
      </c>
      <c r="E69" s="102"/>
      <c r="F69" s="103"/>
      <c r="G69" s="102"/>
      <c r="H69" s="104"/>
      <c r="I69" s="105">
        <f t="shared" si="0"/>
        <v>0</v>
      </c>
      <c r="J69" s="103">
        <f t="shared" si="1"/>
        <v>0</v>
      </c>
    </row>
    <row r="70" spans="1:10" ht="23.25">
      <c r="A70" s="51" t="s">
        <v>94</v>
      </c>
      <c r="B70" s="216" t="s">
        <v>79</v>
      </c>
      <c r="C70" s="105">
        <f>'ก.ย.'!M69</f>
        <v>0</v>
      </c>
      <c r="D70" s="101">
        <f>'ก.ย.'!N69</f>
        <v>34488</v>
      </c>
      <c r="E70" s="102"/>
      <c r="F70" s="103"/>
      <c r="G70" s="275">
        <f>D70+F70-C70-E70</f>
        <v>34488</v>
      </c>
      <c r="H70" s="104"/>
      <c r="I70" s="105">
        <f t="shared" si="0"/>
        <v>0</v>
      </c>
      <c r="J70" s="103">
        <f t="shared" si="1"/>
        <v>0</v>
      </c>
    </row>
    <row r="71" spans="1:10" ht="23.25">
      <c r="A71" s="51" t="s">
        <v>95</v>
      </c>
      <c r="B71" s="216" t="s">
        <v>80</v>
      </c>
      <c r="C71" s="105">
        <f>'ก.ย.'!M70</f>
        <v>0</v>
      </c>
      <c r="D71" s="101">
        <f>'ก.ย.'!N70</f>
        <v>72410.6</v>
      </c>
      <c r="E71" s="102"/>
      <c r="F71" s="103"/>
      <c r="G71" s="275">
        <f aca="true" t="shared" si="3" ref="G71:G90">D71+F71-C71-E71</f>
        <v>72410.6</v>
      </c>
      <c r="H71" s="104"/>
      <c r="I71" s="105">
        <f t="shared" si="0"/>
        <v>0</v>
      </c>
      <c r="J71" s="103">
        <f t="shared" si="1"/>
        <v>0</v>
      </c>
    </row>
    <row r="72" spans="1:10" ht="23.25">
      <c r="A72" s="51" t="s">
        <v>96</v>
      </c>
      <c r="B72" s="216" t="s">
        <v>81</v>
      </c>
      <c r="C72" s="105">
        <f>'ก.ย.'!M71</f>
        <v>0</v>
      </c>
      <c r="D72" s="101">
        <f>'ก.ย.'!N71</f>
        <v>6053</v>
      </c>
      <c r="E72" s="102"/>
      <c r="F72" s="103"/>
      <c r="G72" s="275">
        <f t="shared" si="3"/>
        <v>6053</v>
      </c>
      <c r="H72" s="104"/>
      <c r="I72" s="105">
        <f aca="true" t="shared" si="4" ref="I72:I89">C72+E72+G72-D72-F72-H72</f>
        <v>0</v>
      </c>
      <c r="J72" s="103">
        <f t="shared" si="1"/>
        <v>0</v>
      </c>
    </row>
    <row r="73" spans="1:10" ht="23.25">
      <c r="A73" s="51" t="s">
        <v>164</v>
      </c>
      <c r="B73" s="216" t="s">
        <v>162</v>
      </c>
      <c r="C73" s="105">
        <f>'ก.ย.'!M72</f>
        <v>0</v>
      </c>
      <c r="D73" s="101">
        <f>'ก.ย.'!N72</f>
        <v>53040</v>
      </c>
      <c r="E73" s="102"/>
      <c r="F73" s="103"/>
      <c r="G73" s="275">
        <f t="shared" si="3"/>
        <v>53040</v>
      </c>
      <c r="H73" s="104"/>
      <c r="I73" s="105">
        <f t="shared" si="4"/>
        <v>0</v>
      </c>
      <c r="J73" s="103">
        <f t="shared" si="1"/>
        <v>0</v>
      </c>
    </row>
    <row r="74" spans="1:12" ht="23.25">
      <c r="A74" s="51" t="s">
        <v>97</v>
      </c>
      <c r="B74" s="216" t="s">
        <v>83</v>
      </c>
      <c r="C74" s="105">
        <f>'ก.ย.'!M73</f>
        <v>0</v>
      </c>
      <c r="D74" s="101">
        <f>'ก.ย.'!N73</f>
        <v>5807507.659999999</v>
      </c>
      <c r="E74" s="102"/>
      <c r="F74" s="103"/>
      <c r="G74" s="275">
        <f t="shared" si="3"/>
        <v>5807507.659999999</v>
      </c>
      <c r="H74" s="104"/>
      <c r="I74" s="105">
        <f t="shared" si="4"/>
        <v>0</v>
      </c>
      <c r="J74" s="103">
        <f t="shared" si="1"/>
        <v>0</v>
      </c>
      <c r="K74" s="63" t="s">
        <v>208</v>
      </c>
      <c r="L74" s="106">
        <f>SUM(J72:J92)</f>
        <v>93500</v>
      </c>
    </row>
    <row r="75" spans="1:12" ht="23.25">
      <c r="A75" s="51" t="s">
        <v>125</v>
      </c>
      <c r="B75" s="216" t="s">
        <v>160</v>
      </c>
      <c r="C75" s="105">
        <f>'ก.ย.'!M74</f>
        <v>0</v>
      </c>
      <c r="D75" s="101">
        <f>'ก.ย.'!N74</f>
        <v>1997844.74</v>
      </c>
      <c r="E75" s="102"/>
      <c r="F75" s="103"/>
      <c r="G75" s="275">
        <f t="shared" si="3"/>
        <v>1997844.74</v>
      </c>
      <c r="H75" s="104"/>
      <c r="I75" s="105">
        <f t="shared" si="4"/>
        <v>0</v>
      </c>
      <c r="J75" s="103">
        <f t="shared" si="1"/>
        <v>0</v>
      </c>
      <c r="K75" s="63" t="s">
        <v>209</v>
      </c>
      <c r="L75" s="106">
        <f>L74-16935000</f>
        <v>-16841500</v>
      </c>
    </row>
    <row r="76" spans="1:12" ht="23.25">
      <c r="A76" s="51" t="s">
        <v>123</v>
      </c>
      <c r="B76" s="216" t="s">
        <v>161</v>
      </c>
      <c r="C76" s="105">
        <f>'ก.ย.'!M75</f>
        <v>0</v>
      </c>
      <c r="D76" s="101">
        <f>'ก.ย.'!N75</f>
        <v>161190</v>
      </c>
      <c r="E76" s="102"/>
      <c r="F76" s="103"/>
      <c r="G76" s="275">
        <f t="shared" si="3"/>
        <v>161190</v>
      </c>
      <c r="H76" s="104"/>
      <c r="I76" s="105">
        <f t="shared" si="4"/>
        <v>0</v>
      </c>
      <c r="J76" s="103">
        <f t="shared" si="1"/>
        <v>0</v>
      </c>
      <c r="K76" s="63" t="s">
        <v>210</v>
      </c>
      <c r="L76" s="106">
        <f>H17+H18+H19+H20+H21+H22+H23+H24+H25+H27+200000</f>
        <v>17056972.98</v>
      </c>
    </row>
    <row r="77" spans="1:12" ht="23.25">
      <c r="A77" s="51" t="s">
        <v>98</v>
      </c>
      <c r="B77" s="216" t="s">
        <v>85</v>
      </c>
      <c r="C77" s="105">
        <f>'ก.ย.'!M76</f>
        <v>0</v>
      </c>
      <c r="D77" s="101">
        <f>'ก.ย.'!N76</f>
        <v>1126680.26</v>
      </c>
      <c r="E77" s="102"/>
      <c r="F77" s="103"/>
      <c r="G77" s="275">
        <f t="shared" si="3"/>
        <v>1126680.26</v>
      </c>
      <c r="H77" s="104"/>
      <c r="I77" s="105">
        <f t="shared" si="4"/>
        <v>0</v>
      </c>
      <c r="J77" s="103">
        <f t="shared" si="1"/>
        <v>0</v>
      </c>
      <c r="K77" s="63" t="s">
        <v>211</v>
      </c>
      <c r="L77" s="106">
        <f>L74-L76</f>
        <v>-16963472.98</v>
      </c>
    </row>
    <row r="78" spans="1:12" ht="23.25">
      <c r="A78" s="51" t="s">
        <v>99</v>
      </c>
      <c r="B78" s="216" t="s">
        <v>86</v>
      </c>
      <c r="C78" s="105">
        <f>'ก.ย.'!M77</f>
        <v>0</v>
      </c>
      <c r="D78" s="101">
        <f>'ก.ย.'!N77</f>
        <v>3050899.1799999997</v>
      </c>
      <c r="E78" s="102"/>
      <c r="F78" s="103"/>
      <c r="G78" s="275">
        <f t="shared" si="3"/>
        <v>3050899.1799999997</v>
      </c>
      <c r="H78" s="104"/>
      <c r="I78" s="105">
        <f t="shared" si="4"/>
        <v>0</v>
      </c>
      <c r="J78" s="103">
        <f t="shared" si="1"/>
        <v>0</v>
      </c>
      <c r="L78" s="106">
        <f>L77-L75</f>
        <v>-121972.98000000045</v>
      </c>
    </row>
    <row r="79" spans="1:12" ht="23.25">
      <c r="A79" s="51" t="s">
        <v>100</v>
      </c>
      <c r="B79" s="216" t="s">
        <v>87</v>
      </c>
      <c r="C79" s="105">
        <f>'ก.ย.'!M78</f>
        <v>0</v>
      </c>
      <c r="D79" s="101">
        <f>'ก.ย.'!N78</f>
        <v>41745.03</v>
      </c>
      <c r="E79" s="102"/>
      <c r="F79" s="103"/>
      <c r="G79" s="275">
        <f t="shared" si="3"/>
        <v>41745.03</v>
      </c>
      <c r="H79" s="104"/>
      <c r="I79" s="105">
        <f t="shared" si="4"/>
        <v>0</v>
      </c>
      <c r="J79" s="103">
        <f t="shared" si="1"/>
        <v>0</v>
      </c>
      <c r="K79" s="107">
        <v>0.25</v>
      </c>
      <c r="L79" s="106">
        <f>L78*25/100</f>
        <v>-30493.24500000011</v>
      </c>
    </row>
    <row r="80" spans="1:12" ht="23.25">
      <c r="A80" s="51" t="s">
        <v>293</v>
      </c>
      <c r="B80" s="216" t="s">
        <v>88</v>
      </c>
      <c r="C80" s="105">
        <f>'ก.ย.'!M79</f>
        <v>0</v>
      </c>
      <c r="D80" s="101">
        <f>'ก.ย.'!N79</f>
        <v>56705.100000000006</v>
      </c>
      <c r="E80" s="102"/>
      <c r="F80" s="103"/>
      <c r="G80" s="275">
        <f t="shared" si="3"/>
        <v>56705.100000000006</v>
      </c>
      <c r="H80" s="104"/>
      <c r="I80" s="105">
        <f t="shared" si="4"/>
        <v>0</v>
      </c>
      <c r="J80" s="103">
        <f aca="true" t="shared" si="5" ref="J80:J92">D80+F80+H80-E80-C80-G80</f>
        <v>0</v>
      </c>
      <c r="K80" s="107"/>
      <c r="L80" s="106"/>
    </row>
    <row r="81" spans="1:12" ht="23.25">
      <c r="A81" s="51" t="s">
        <v>280</v>
      </c>
      <c r="B81" s="216" t="s">
        <v>89</v>
      </c>
      <c r="C81" s="105">
        <f>'ก.ย.'!M80</f>
        <v>0</v>
      </c>
      <c r="D81" s="101">
        <f>'ก.ย.'!N80</f>
        <v>2.91</v>
      </c>
      <c r="E81" s="102"/>
      <c r="F81" s="103"/>
      <c r="G81" s="275">
        <f t="shared" si="3"/>
        <v>2.91</v>
      </c>
      <c r="H81" s="104"/>
      <c r="I81" s="105">
        <f t="shared" si="4"/>
        <v>0</v>
      </c>
      <c r="J81" s="103">
        <f t="shared" si="5"/>
        <v>0</v>
      </c>
      <c r="L81" s="106"/>
    </row>
    <row r="82" spans="1:10" ht="23.25">
      <c r="A82" s="51" t="s">
        <v>124</v>
      </c>
      <c r="B82" s="216" t="s">
        <v>133</v>
      </c>
      <c r="C82" s="105">
        <f>'ก.ย.'!M81</f>
        <v>0</v>
      </c>
      <c r="D82" s="101">
        <f>'ก.ย.'!N81</f>
        <v>698435</v>
      </c>
      <c r="E82" s="102"/>
      <c r="F82" s="103"/>
      <c r="G82" s="102">
        <f t="shared" si="3"/>
        <v>698435</v>
      </c>
      <c r="H82" s="104"/>
      <c r="I82" s="105">
        <f t="shared" si="4"/>
        <v>0</v>
      </c>
      <c r="J82" s="103">
        <f t="shared" si="5"/>
        <v>0</v>
      </c>
    </row>
    <row r="83" spans="1:10" ht="23.25">
      <c r="A83" s="51" t="s">
        <v>132</v>
      </c>
      <c r="B83" s="216" t="s">
        <v>90</v>
      </c>
      <c r="C83" s="105">
        <f>'ก.ย.'!M82</f>
        <v>0</v>
      </c>
      <c r="D83" s="101">
        <f>'ก.ย.'!N82</f>
        <v>5000</v>
      </c>
      <c r="E83" s="102"/>
      <c r="F83" s="103"/>
      <c r="G83" s="102">
        <f t="shared" si="3"/>
        <v>5000</v>
      </c>
      <c r="H83" s="104"/>
      <c r="I83" s="105">
        <f t="shared" si="4"/>
        <v>0</v>
      </c>
      <c r="J83" s="103">
        <f t="shared" si="5"/>
        <v>0</v>
      </c>
    </row>
    <row r="84" spans="1:10" ht="23.25">
      <c r="A84" s="51" t="s">
        <v>294</v>
      </c>
      <c r="B84" s="216" t="s">
        <v>91</v>
      </c>
      <c r="C84" s="105">
        <f>'ก.ย.'!M83</f>
        <v>0</v>
      </c>
      <c r="D84" s="101">
        <f>'ก.ย.'!N83</f>
        <v>29009.43</v>
      </c>
      <c r="E84" s="102"/>
      <c r="F84" s="103"/>
      <c r="G84" s="275">
        <f t="shared" si="3"/>
        <v>29009.43</v>
      </c>
      <c r="H84" s="104"/>
      <c r="I84" s="105">
        <f t="shared" si="4"/>
        <v>0</v>
      </c>
      <c r="J84" s="103">
        <f t="shared" si="5"/>
        <v>0</v>
      </c>
    </row>
    <row r="85" spans="1:10" ht="23.25">
      <c r="A85" s="51" t="s">
        <v>295</v>
      </c>
      <c r="B85" s="216" t="s">
        <v>92</v>
      </c>
      <c r="C85" s="105">
        <f>'ก.ย.'!M84</f>
        <v>0</v>
      </c>
      <c r="D85" s="101">
        <f>'ก.ย.'!N84</f>
        <v>7900</v>
      </c>
      <c r="E85" s="102"/>
      <c r="F85" s="103"/>
      <c r="G85" s="275">
        <f t="shared" si="3"/>
        <v>7900</v>
      </c>
      <c r="H85" s="104"/>
      <c r="I85" s="105">
        <f t="shared" si="4"/>
        <v>0</v>
      </c>
      <c r="J85" s="103">
        <f t="shared" si="5"/>
        <v>0</v>
      </c>
    </row>
    <row r="86" spans="1:10" ht="23.25">
      <c r="A86" s="51" t="s">
        <v>104</v>
      </c>
      <c r="B86" s="216" t="s">
        <v>93</v>
      </c>
      <c r="C86" s="105">
        <f>'ก.ย.'!M85</f>
        <v>0</v>
      </c>
      <c r="D86" s="101">
        <f>'ก.ย.'!N85</f>
        <v>62991</v>
      </c>
      <c r="E86" s="102"/>
      <c r="F86" s="103"/>
      <c r="G86" s="275">
        <f t="shared" si="3"/>
        <v>62991</v>
      </c>
      <c r="H86" s="104"/>
      <c r="I86" s="105">
        <f t="shared" si="4"/>
        <v>0</v>
      </c>
      <c r="J86" s="103">
        <f t="shared" si="5"/>
        <v>0</v>
      </c>
    </row>
    <row r="87" spans="1:10" ht="23.25">
      <c r="A87" s="51" t="s">
        <v>105</v>
      </c>
      <c r="B87" s="216" t="s">
        <v>133</v>
      </c>
      <c r="C87" s="105">
        <f>'ก.ย.'!M86</f>
        <v>0</v>
      </c>
      <c r="D87" s="101">
        <f>'ก.ย.'!N86</f>
        <v>10264971</v>
      </c>
      <c r="E87" s="102"/>
      <c r="F87" s="103"/>
      <c r="G87" s="275">
        <f t="shared" si="3"/>
        <v>10264971</v>
      </c>
      <c r="H87" s="104"/>
      <c r="I87" s="105">
        <f t="shared" si="4"/>
        <v>0</v>
      </c>
      <c r="J87" s="103">
        <f t="shared" si="5"/>
        <v>0</v>
      </c>
    </row>
    <row r="88" spans="1:10" ht="23.25">
      <c r="A88" s="1" t="s">
        <v>106</v>
      </c>
      <c r="B88" s="216" t="s">
        <v>159</v>
      </c>
      <c r="C88" s="105">
        <f>'ก.ย.'!M87</f>
        <v>0</v>
      </c>
      <c r="D88" s="101">
        <f>'ก.ย.'!N87</f>
        <v>53000</v>
      </c>
      <c r="E88" s="102"/>
      <c r="F88" s="103"/>
      <c r="G88" s="102">
        <f t="shared" si="3"/>
        <v>53000</v>
      </c>
      <c r="H88" s="104">
        <f>H87*25/100</f>
        <v>0</v>
      </c>
      <c r="I88" s="105">
        <f t="shared" si="4"/>
        <v>0</v>
      </c>
      <c r="J88" s="103">
        <f t="shared" si="5"/>
        <v>0</v>
      </c>
    </row>
    <row r="89" spans="1:12" ht="23.25">
      <c r="A89" s="51" t="s">
        <v>140</v>
      </c>
      <c r="B89" s="217"/>
      <c r="C89" s="105">
        <f>'ก.ย.'!M88</f>
        <v>0</v>
      </c>
      <c r="D89" s="101">
        <f>'ก.ย.'!N88</f>
        <v>0</v>
      </c>
      <c r="E89" s="102"/>
      <c r="F89" s="103"/>
      <c r="G89" s="102">
        <f t="shared" si="3"/>
        <v>0</v>
      </c>
      <c r="H89" s="104">
        <f>H88*25/100</f>
        <v>0</v>
      </c>
      <c r="I89" s="105">
        <f t="shared" si="4"/>
        <v>0</v>
      </c>
      <c r="J89" s="103">
        <f t="shared" si="5"/>
        <v>0</v>
      </c>
      <c r="L89" s="102"/>
    </row>
    <row r="90" spans="1:10" ht="23.25">
      <c r="A90" s="1" t="s">
        <v>143</v>
      </c>
      <c r="B90" s="274"/>
      <c r="C90" s="105">
        <f>'ก.ย.'!M89</f>
        <v>0</v>
      </c>
      <c r="D90" s="101">
        <f>'ก.ย.'!N89</f>
        <v>0</v>
      </c>
      <c r="E90" s="102"/>
      <c r="F90" s="103"/>
      <c r="G90" s="102">
        <f t="shared" si="3"/>
        <v>0</v>
      </c>
      <c r="H90" s="104">
        <f>H89*25/100</f>
        <v>0</v>
      </c>
      <c r="I90" s="105"/>
      <c r="J90" s="103">
        <f t="shared" si="5"/>
        <v>0</v>
      </c>
    </row>
    <row r="91" spans="1:10" ht="23.25">
      <c r="A91" s="257" t="s">
        <v>307</v>
      </c>
      <c r="B91" s="274"/>
      <c r="C91" s="105">
        <f>'ก.ย.'!M90</f>
        <v>0</v>
      </c>
      <c r="D91" s="101">
        <f>'ก.ย.'!N90</f>
        <v>40000</v>
      </c>
      <c r="E91" s="102"/>
      <c r="F91" s="103"/>
      <c r="G91" s="102">
        <v>0</v>
      </c>
      <c r="H91" s="104">
        <v>0</v>
      </c>
      <c r="I91" s="105"/>
      <c r="J91" s="103">
        <f t="shared" si="5"/>
        <v>40000</v>
      </c>
    </row>
    <row r="92" spans="1:10" ht="24" thickBot="1">
      <c r="A92" s="257" t="s">
        <v>306</v>
      </c>
      <c r="B92" s="218" t="s">
        <v>168</v>
      </c>
      <c r="C92" s="105">
        <f>'ก.ย.'!M91</f>
        <v>0</v>
      </c>
      <c r="D92" s="101">
        <f>'ก.ย.'!N91</f>
        <v>53500</v>
      </c>
      <c r="E92" s="102"/>
      <c r="F92" s="103"/>
      <c r="G92" s="102">
        <v>0</v>
      </c>
      <c r="H92" s="104">
        <v>0</v>
      </c>
      <c r="I92" s="105">
        <v>0</v>
      </c>
      <c r="J92" s="103">
        <f t="shared" si="5"/>
        <v>53500</v>
      </c>
    </row>
    <row r="93" spans="1:12" ht="21.75" thickBot="1">
      <c r="A93" s="65"/>
      <c r="B93" s="108"/>
      <c r="C93" s="221">
        <f aca="true" t="shared" si="6" ref="C93:J93">SUM(C7:C92)</f>
        <v>29905869.73</v>
      </c>
      <c r="D93" s="222">
        <f t="shared" si="6"/>
        <v>29905869.73</v>
      </c>
      <c r="E93" s="109">
        <f t="shared" si="6"/>
        <v>5373644</v>
      </c>
      <c r="F93" s="110">
        <f t="shared" si="6"/>
        <v>5373644</v>
      </c>
      <c r="G93" s="219">
        <f t="shared" si="6"/>
        <v>24718915.1425</v>
      </c>
      <c r="H93" s="220">
        <f t="shared" si="6"/>
        <v>24718915.142499994</v>
      </c>
      <c r="I93" s="111">
        <f t="shared" si="6"/>
        <v>11885092.750000002</v>
      </c>
      <c r="J93" s="110">
        <f t="shared" si="6"/>
        <v>11885092.749999994</v>
      </c>
      <c r="K93" s="64"/>
      <c r="L93" s="64"/>
    </row>
    <row r="94" spans="1:10" ht="21.75" customHeight="1" thickTop="1">
      <c r="A94" s="66"/>
      <c r="B94" s="67"/>
      <c r="C94" s="112"/>
      <c r="D94" s="113">
        <f>C93-D93</f>
        <v>0</v>
      </c>
      <c r="E94" s="112"/>
      <c r="F94" s="112">
        <f>E93-F93</f>
        <v>0</v>
      </c>
      <c r="G94" s="112"/>
      <c r="H94" s="113">
        <f>G93-H93</f>
        <v>0</v>
      </c>
      <c r="I94" s="114"/>
      <c r="J94" s="113">
        <f>I93-J93</f>
        <v>0</v>
      </c>
    </row>
    <row r="95" spans="1:13" ht="21">
      <c r="A95" s="115" t="s">
        <v>154</v>
      </c>
      <c r="B95" s="313" t="s">
        <v>212</v>
      </c>
      <c r="C95" s="313"/>
      <c r="D95" s="313"/>
      <c r="E95" s="313" t="s">
        <v>213</v>
      </c>
      <c r="F95" s="313"/>
      <c r="G95" s="313"/>
      <c r="H95" s="313" t="s">
        <v>152</v>
      </c>
      <c r="I95" s="313"/>
      <c r="J95" s="313"/>
      <c r="K95" s="69"/>
      <c r="L95" s="69"/>
      <c r="M95" s="69"/>
    </row>
    <row r="96" spans="1:13" ht="26.25" customHeight="1">
      <c r="A96" s="115"/>
      <c r="B96" s="69"/>
      <c r="C96" s="116"/>
      <c r="D96" s="116" t="s">
        <v>214</v>
      </c>
      <c r="E96" s="117"/>
      <c r="F96" s="118"/>
      <c r="G96" s="116"/>
      <c r="I96" s="68"/>
      <c r="J96" s="119"/>
      <c r="K96" s="68"/>
      <c r="L96" s="68"/>
      <c r="M96" s="68"/>
    </row>
    <row r="97" spans="1:13" ht="21">
      <c r="A97" s="115" t="s">
        <v>215</v>
      </c>
      <c r="B97" s="312" t="s">
        <v>216</v>
      </c>
      <c r="C97" s="312"/>
      <c r="D97" s="312"/>
      <c r="E97" s="312" t="s">
        <v>314</v>
      </c>
      <c r="F97" s="312"/>
      <c r="G97" s="312"/>
      <c r="H97" s="312" t="s">
        <v>217</v>
      </c>
      <c r="I97" s="312"/>
      <c r="J97" s="312"/>
      <c r="K97" s="70"/>
      <c r="L97" s="70"/>
      <c r="M97" s="70"/>
    </row>
    <row r="98" spans="1:13" ht="21">
      <c r="A98" s="115" t="s">
        <v>155</v>
      </c>
      <c r="B98" s="312" t="s">
        <v>218</v>
      </c>
      <c r="C98" s="312"/>
      <c r="D98" s="312"/>
      <c r="E98" s="312" t="s">
        <v>156</v>
      </c>
      <c r="F98" s="312"/>
      <c r="G98" s="312"/>
      <c r="H98" s="312" t="s">
        <v>157</v>
      </c>
      <c r="I98" s="312"/>
      <c r="J98" s="312"/>
      <c r="K98" s="70"/>
      <c r="L98" s="70"/>
      <c r="M98" s="70"/>
    </row>
    <row r="101" spans="1:5" ht="21">
      <c r="A101" s="72"/>
      <c r="B101" s="122"/>
      <c r="C101" s="112"/>
      <c r="D101" s="112"/>
      <c r="E101" s="112"/>
    </row>
    <row r="102" spans="1:5" ht="21">
      <c r="A102" s="123"/>
      <c r="B102" s="122"/>
      <c r="C102" s="112"/>
      <c r="D102" s="112"/>
      <c r="E102" s="112"/>
    </row>
    <row r="103" spans="1:5" ht="21">
      <c r="A103" s="72"/>
      <c r="B103" s="122"/>
      <c r="C103" s="112"/>
      <c r="D103" s="112"/>
      <c r="E103" s="112"/>
    </row>
    <row r="104" spans="1:5" ht="21">
      <c r="A104" s="72"/>
      <c r="B104" s="122"/>
      <c r="C104" s="112"/>
      <c r="D104" s="112"/>
      <c r="E104" s="112"/>
    </row>
    <row r="105" spans="1:5" ht="21">
      <c r="A105" s="72"/>
      <c r="B105" s="122"/>
      <c r="C105" s="112"/>
      <c r="D105" s="112"/>
      <c r="E105" s="112"/>
    </row>
    <row r="106" spans="1:5" ht="21">
      <c r="A106" s="72"/>
      <c r="B106" s="122"/>
      <c r="C106" s="112"/>
      <c r="D106" s="112"/>
      <c r="E106" s="112"/>
    </row>
    <row r="107" spans="1:5" ht="21">
      <c r="A107" s="72"/>
      <c r="B107" s="122"/>
      <c r="C107" s="112"/>
      <c r="D107" s="112"/>
      <c r="E107" s="112"/>
    </row>
    <row r="108" spans="1:5" ht="21">
      <c r="A108" s="72"/>
      <c r="B108" s="122"/>
      <c r="C108" s="112"/>
      <c r="D108" s="112"/>
      <c r="E108" s="112"/>
    </row>
    <row r="109" spans="1:5" ht="21">
      <c r="A109" s="72"/>
      <c r="B109" s="122"/>
      <c r="C109" s="112"/>
      <c r="D109" s="112"/>
      <c r="E109" s="112"/>
    </row>
    <row r="110" spans="1:5" ht="21">
      <c r="A110" s="66"/>
      <c r="B110" s="122"/>
      <c r="C110" s="112"/>
      <c r="D110" s="112"/>
      <c r="E110" s="112"/>
    </row>
    <row r="111" spans="1:5" ht="21">
      <c r="A111" s="66"/>
      <c r="B111" s="122"/>
      <c r="C111" s="112"/>
      <c r="D111" s="112"/>
      <c r="E111" s="112"/>
    </row>
    <row r="112" spans="1:5" ht="21">
      <c r="A112" s="66"/>
      <c r="B112" s="122"/>
      <c r="C112" s="112"/>
      <c r="D112" s="112"/>
      <c r="E112" s="112">
        <f>1100500+136000+92500+80000</f>
        <v>1409000</v>
      </c>
    </row>
    <row r="113" spans="1:5" ht="21">
      <c r="A113" s="66"/>
      <c r="B113" s="122"/>
      <c r="C113" s="112"/>
      <c r="D113" s="112"/>
      <c r="E113" s="112"/>
    </row>
    <row r="114" spans="1:5" ht="21">
      <c r="A114" s="66"/>
      <c r="B114" s="122"/>
      <c r="C114" s="112"/>
      <c r="D114" s="112"/>
      <c r="E114" s="112"/>
    </row>
    <row r="115" spans="1:5" ht="21">
      <c r="A115" s="66"/>
      <c r="B115" s="122"/>
      <c r="C115" s="112"/>
      <c r="D115" s="112"/>
      <c r="E115" s="112"/>
    </row>
    <row r="116" spans="1:5" ht="21">
      <c r="A116" s="72"/>
      <c r="B116" s="122"/>
      <c r="C116" s="112"/>
      <c r="D116" s="112"/>
      <c r="E116" s="112"/>
    </row>
    <row r="117" spans="1:5" ht="21">
      <c r="A117" s="72"/>
      <c r="B117" s="122"/>
      <c r="C117" s="112"/>
      <c r="D117" s="112"/>
      <c r="E117" s="112"/>
    </row>
    <row r="118" spans="1:5" ht="21">
      <c r="A118" s="72"/>
      <c r="B118" s="122"/>
      <c r="C118" s="112"/>
      <c r="D118" s="112"/>
      <c r="E118" s="112"/>
    </row>
    <row r="119" spans="1:5" ht="21">
      <c r="A119" s="72"/>
      <c r="B119" s="122"/>
      <c r="C119" s="112"/>
      <c r="D119" s="112"/>
      <c r="E119" s="112"/>
    </row>
    <row r="120" spans="1:5" ht="21">
      <c r="A120" s="72"/>
      <c r="B120" s="122"/>
      <c r="C120" s="112"/>
      <c r="D120" s="112"/>
      <c r="E120" s="112"/>
    </row>
    <row r="121" spans="1:5" ht="21">
      <c r="A121" s="66"/>
      <c r="B121" s="122"/>
      <c r="C121" s="112"/>
      <c r="D121" s="112"/>
      <c r="E121" s="112"/>
    </row>
    <row r="122" spans="1:5" ht="21">
      <c r="A122" s="66"/>
      <c r="B122" s="122"/>
      <c r="C122" s="112"/>
      <c r="D122" s="112"/>
      <c r="E122" s="112"/>
    </row>
    <row r="123" spans="1:5" ht="21">
      <c r="A123" s="66"/>
      <c r="B123" s="122"/>
      <c r="C123" s="112"/>
      <c r="D123" s="112"/>
      <c r="E123" s="112"/>
    </row>
    <row r="124" spans="1:5" ht="21">
      <c r="A124" s="66"/>
      <c r="B124" s="122"/>
      <c r="C124" s="112"/>
      <c r="D124" s="112"/>
      <c r="E124" s="112"/>
    </row>
    <row r="125" spans="1:5" ht="21">
      <c r="A125" s="66"/>
      <c r="B125" s="122"/>
      <c r="C125" s="112"/>
      <c r="D125" s="112"/>
      <c r="E125" s="112"/>
    </row>
    <row r="126" spans="1:5" ht="21">
      <c r="A126" s="66"/>
      <c r="B126" s="122"/>
      <c r="C126" s="112"/>
      <c r="D126" s="112"/>
      <c r="E126" s="112"/>
    </row>
    <row r="127" spans="1:5" ht="21">
      <c r="A127" s="72"/>
      <c r="B127" s="122"/>
      <c r="C127" s="112"/>
      <c r="D127" s="112"/>
      <c r="E127" s="112"/>
    </row>
    <row r="128" spans="1:5" ht="21">
      <c r="A128" s="72"/>
      <c r="B128" s="122"/>
      <c r="C128" s="112"/>
      <c r="D128" s="112"/>
      <c r="E128" s="112"/>
    </row>
    <row r="129" spans="1:5" ht="21">
      <c r="A129" s="72"/>
      <c r="B129" s="122"/>
      <c r="C129" s="112"/>
      <c r="D129" s="112"/>
      <c r="E129" s="112"/>
    </row>
    <row r="130" spans="1:5" ht="21">
      <c r="A130" s="72"/>
      <c r="B130" s="122"/>
      <c r="C130" s="112"/>
      <c r="D130" s="112"/>
      <c r="E130" s="112"/>
    </row>
    <row r="131" spans="1:5" ht="21">
      <c r="A131" s="72"/>
      <c r="B131" s="122"/>
      <c r="C131" s="112"/>
      <c r="D131" s="112"/>
      <c r="E131" s="112"/>
    </row>
    <row r="132" spans="1:5" ht="21">
      <c r="A132" s="72"/>
      <c r="B132" s="122"/>
      <c r="C132" s="112"/>
      <c r="D132" s="112"/>
      <c r="E132" s="112"/>
    </row>
    <row r="133" spans="1:5" ht="21">
      <c r="A133" s="72"/>
      <c r="B133" s="122"/>
      <c r="C133" s="112"/>
      <c r="D133" s="112"/>
      <c r="E133" s="112"/>
    </row>
    <row r="134" spans="1:5" ht="21">
      <c r="A134" s="72"/>
      <c r="B134" s="122"/>
      <c r="C134" s="112"/>
      <c r="D134" s="112"/>
      <c r="E134" s="112"/>
    </row>
    <row r="135" spans="1:5" ht="21">
      <c r="A135" s="72"/>
      <c r="B135" s="122"/>
      <c r="C135" s="112"/>
      <c r="D135" s="112"/>
      <c r="E135" s="112"/>
    </row>
    <row r="136" spans="1:5" ht="21">
      <c r="A136" s="72"/>
      <c r="B136" s="122"/>
      <c r="C136" s="112"/>
      <c r="D136" s="112"/>
      <c r="E136" s="112"/>
    </row>
    <row r="137" spans="1:5" ht="21">
      <c r="A137" s="72"/>
      <c r="B137" s="122"/>
      <c r="C137" s="112"/>
      <c r="D137" s="112"/>
      <c r="E137" s="112"/>
    </row>
    <row r="138" spans="1:5" ht="21">
      <c r="A138" s="72"/>
      <c r="B138" s="122"/>
      <c r="C138" s="112"/>
      <c r="D138" s="112"/>
      <c r="E138" s="112"/>
    </row>
    <row r="139" spans="1:5" ht="21">
      <c r="A139" s="72"/>
      <c r="B139" s="122"/>
      <c r="C139" s="112"/>
      <c r="D139" s="112"/>
      <c r="E139" s="112"/>
    </row>
    <row r="140" spans="1:5" ht="21">
      <c r="A140" s="72"/>
      <c r="B140" s="122"/>
      <c r="C140" s="112"/>
      <c r="D140" s="112"/>
      <c r="E140" s="112"/>
    </row>
    <row r="141" spans="1:5" ht="21">
      <c r="A141" s="72"/>
      <c r="B141" s="122"/>
      <c r="C141" s="112"/>
      <c r="D141" s="112"/>
      <c r="E141" s="112"/>
    </row>
    <row r="142" spans="1:5" ht="21">
      <c r="A142" s="72"/>
      <c r="B142" s="122"/>
      <c r="C142" s="112"/>
      <c r="D142" s="112"/>
      <c r="E142" s="112"/>
    </row>
    <row r="143" spans="1:5" ht="21">
      <c r="A143" s="66"/>
      <c r="B143" s="122"/>
      <c r="C143" s="112"/>
      <c r="D143" s="112"/>
      <c r="E143" s="112"/>
    </row>
    <row r="144" spans="1:5" ht="21">
      <c r="A144" s="72"/>
      <c r="B144" s="122"/>
      <c r="C144" s="112"/>
      <c r="D144" s="112"/>
      <c r="E144" s="112"/>
    </row>
    <row r="145" spans="1:5" ht="21">
      <c r="A145" s="66"/>
      <c r="B145" s="122"/>
      <c r="C145" s="112"/>
      <c r="D145" s="112"/>
      <c r="E145" s="112"/>
    </row>
    <row r="146" spans="1:5" ht="21">
      <c r="A146" s="66"/>
      <c r="B146" s="122"/>
      <c r="C146" s="112"/>
      <c r="D146" s="112"/>
      <c r="E146" s="112"/>
    </row>
    <row r="147" spans="1:5" ht="21">
      <c r="A147" s="66"/>
      <c r="B147" s="122"/>
      <c r="C147" s="112"/>
      <c r="D147" s="112"/>
      <c r="E147" s="112"/>
    </row>
    <row r="148" spans="1:5" ht="21">
      <c r="A148" s="66"/>
      <c r="B148" s="122"/>
      <c r="C148" s="112"/>
      <c r="D148" s="112"/>
      <c r="E148" s="112"/>
    </row>
    <row r="149" spans="1:5" ht="21">
      <c r="A149" s="66"/>
      <c r="B149" s="122"/>
      <c r="C149" s="112"/>
      <c r="D149" s="112"/>
      <c r="E149" s="112"/>
    </row>
    <row r="150" spans="1:5" ht="21">
      <c r="A150" s="66"/>
      <c r="B150" s="122"/>
      <c r="C150" s="112"/>
      <c r="D150" s="112"/>
      <c r="E150" s="112"/>
    </row>
    <row r="151" spans="1:5" ht="21">
      <c r="A151" s="66"/>
      <c r="B151" s="122"/>
      <c r="C151" s="112"/>
      <c r="D151" s="112"/>
      <c r="E151" s="112"/>
    </row>
    <row r="152" spans="1:5" ht="21">
      <c r="A152" s="124"/>
      <c r="B152" s="122"/>
      <c r="C152" s="112"/>
      <c r="D152" s="112"/>
      <c r="E152" s="112"/>
    </row>
    <row r="153" spans="1:5" ht="21">
      <c r="A153" s="124"/>
      <c r="B153" s="122"/>
      <c r="C153" s="112"/>
      <c r="D153" s="112"/>
      <c r="E153" s="112"/>
    </row>
    <row r="154" spans="1:5" ht="21">
      <c r="A154" s="72"/>
      <c r="B154" s="122"/>
      <c r="C154" s="112"/>
      <c r="D154" s="112"/>
      <c r="E154" s="112"/>
    </row>
    <row r="155" spans="1:5" ht="21">
      <c r="A155" s="72"/>
      <c r="B155" s="122"/>
      <c r="C155" s="112"/>
      <c r="D155" s="112"/>
      <c r="E155" s="112"/>
    </row>
    <row r="156" spans="1:5" ht="21">
      <c r="A156" s="72"/>
      <c r="B156" s="122"/>
      <c r="C156" s="112"/>
      <c r="D156" s="112"/>
      <c r="E156" s="112"/>
    </row>
    <row r="157" spans="1:5" ht="21">
      <c r="A157" s="72"/>
      <c r="B157" s="122"/>
      <c r="C157" s="112"/>
      <c r="D157" s="112"/>
      <c r="E157" s="112"/>
    </row>
    <row r="158" spans="1:5" ht="21">
      <c r="A158" s="72"/>
      <c r="B158" s="122"/>
      <c r="C158" s="112"/>
      <c r="D158" s="112"/>
      <c r="E158" s="112"/>
    </row>
    <row r="159" spans="1:5" ht="21">
      <c r="A159" s="72"/>
      <c r="B159" s="122"/>
      <c r="C159" s="112"/>
      <c r="D159" s="112"/>
      <c r="E159" s="112"/>
    </row>
    <row r="160" spans="1:5" ht="21">
      <c r="A160" s="72"/>
      <c r="B160" s="122"/>
      <c r="C160" s="112"/>
      <c r="D160" s="112"/>
      <c r="E160" s="112"/>
    </row>
    <row r="161" spans="1:5" ht="21">
      <c r="A161" s="72"/>
      <c r="B161" s="122"/>
      <c r="C161" s="112"/>
      <c r="D161" s="112"/>
      <c r="E161" s="112"/>
    </row>
    <row r="162" spans="1:5" ht="21">
      <c r="A162" s="72"/>
      <c r="B162" s="122"/>
      <c r="C162" s="112"/>
      <c r="D162" s="112"/>
      <c r="E162" s="112"/>
    </row>
    <row r="163" spans="1:5" ht="21">
      <c r="A163" s="72"/>
      <c r="B163" s="122"/>
      <c r="C163" s="112"/>
      <c r="D163" s="112"/>
      <c r="E163" s="112"/>
    </row>
    <row r="164" spans="1:5" ht="21">
      <c r="A164" s="72"/>
      <c r="B164" s="122"/>
      <c r="C164" s="112"/>
      <c r="D164" s="112"/>
      <c r="E164" s="112"/>
    </row>
    <row r="165" spans="1:5" ht="21">
      <c r="A165" s="72"/>
      <c r="B165" s="122"/>
      <c r="C165" s="112"/>
      <c r="D165" s="112"/>
      <c r="E165" s="112"/>
    </row>
    <row r="166" spans="1:5" ht="21">
      <c r="A166" s="72"/>
      <c r="B166" s="122"/>
      <c r="C166" s="112"/>
      <c r="D166" s="112"/>
      <c r="E166" s="112"/>
    </row>
    <row r="167" spans="1:5" ht="21">
      <c r="A167" s="72"/>
      <c r="B167" s="122"/>
      <c r="C167" s="112"/>
      <c r="D167" s="112"/>
      <c r="E167" s="112"/>
    </row>
    <row r="168" spans="1:5" ht="21">
      <c r="A168" s="72"/>
      <c r="B168" s="122"/>
      <c r="C168" s="112"/>
      <c r="D168" s="112"/>
      <c r="E168" s="112"/>
    </row>
    <row r="169" spans="1:5" ht="21">
      <c r="A169" s="72"/>
      <c r="B169" s="122"/>
      <c r="C169" s="112"/>
      <c r="D169" s="112"/>
      <c r="E169" s="112"/>
    </row>
    <row r="170" spans="1:5" ht="21">
      <c r="A170" s="72"/>
      <c r="B170" s="122"/>
      <c r="C170" s="112"/>
      <c r="D170" s="112"/>
      <c r="E170" s="112"/>
    </row>
    <row r="171" spans="1:5" ht="21">
      <c r="A171" s="72"/>
      <c r="B171" s="122"/>
      <c r="C171" s="112"/>
      <c r="D171" s="112"/>
      <c r="E171" s="112"/>
    </row>
    <row r="172" spans="1:5" ht="21">
      <c r="A172" s="72"/>
      <c r="B172" s="122"/>
      <c r="C172" s="112"/>
      <c r="D172" s="112"/>
      <c r="E172" s="112"/>
    </row>
    <row r="173" spans="1:5" ht="21">
      <c r="A173" s="72"/>
      <c r="B173" s="122"/>
      <c r="C173" s="112"/>
      <c r="D173" s="112"/>
      <c r="E173" s="112"/>
    </row>
    <row r="174" spans="1:5" ht="21">
      <c r="A174" s="72"/>
      <c r="B174" s="122"/>
      <c r="C174" s="112"/>
      <c r="D174" s="112"/>
      <c r="E174" s="112"/>
    </row>
    <row r="175" spans="1:5" ht="21">
      <c r="A175" s="72"/>
      <c r="B175" s="122"/>
      <c r="C175" s="112"/>
      <c r="D175" s="112"/>
      <c r="E175" s="112"/>
    </row>
    <row r="176" spans="1:5" ht="21">
      <c r="A176" s="72"/>
      <c r="B176" s="122"/>
      <c r="C176" s="112"/>
      <c r="D176" s="112"/>
      <c r="E176" s="112"/>
    </row>
    <row r="177" spans="1:5" ht="21">
      <c r="A177" s="72"/>
      <c r="B177" s="122"/>
      <c r="C177" s="112"/>
      <c r="D177" s="112"/>
      <c r="E177" s="112"/>
    </row>
    <row r="178" spans="1:5" ht="21">
      <c r="A178" s="72"/>
      <c r="B178" s="122"/>
      <c r="C178" s="112"/>
      <c r="D178" s="112"/>
      <c r="E178" s="112"/>
    </row>
    <row r="179" spans="1:5" ht="21">
      <c r="A179" s="72"/>
      <c r="B179" s="122"/>
      <c r="C179" s="112"/>
      <c r="D179" s="112"/>
      <c r="E179" s="112"/>
    </row>
    <row r="180" spans="1:5" ht="21">
      <c r="A180" s="72"/>
      <c r="B180" s="122"/>
      <c r="C180" s="112"/>
      <c r="D180" s="112"/>
      <c r="E180" s="112"/>
    </row>
    <row r="181" spans="1:5" ht="21">
      <c r="A181" s="72"/>
      <c r="B181" s="122"/>
      <c r="C181" s="112"/>
      <c r="D181" s="112"/>
      <c r="E181" s="112"/>
    </row>
    <row r="182" spans="1:5" ht="21">
      <c r="A182" s="72"/>
      <c r="B182" s="122"/>
      <c r="C182" s="112"/>
      <c r="D182" s="112"/>
      <c r="E182" s="112"/>
    </row>
    <row r="183" spans="1:5" ht="21">
      <c r="A183" s="72"/>
      <c r="B183" s="122"/>
      <c r="C183" s="112"/>
      <c r="D183" s="112"/>
      <c r="E183" s="112"/>
    </row>
    <row r="184" spans="1:5" ht="21">
      <c r="A184" s="72"/>
      <c r="B184" s="122"/>
      <c r="C184" s="112"/>
      <c r="D184" s="112"/>
      <c r="E184" s="112"/>
    </row>
    <row r="185" spans="1:5" ht="21">
      <c r="A185" s="72"/>
      <c r="B185" s="122"/>
      <c r="C185" s="112"/>
      <c r="D185" s="112"/>
      <c r="E185" s="112"/>
    </row>
    <row r="186" spans="1:5" ht="21">
      <c r="A186" s="72"/>
      <c r="B186" s="122"/>
      <c r="C186" s="112"/>
      <c r="D186" s="112"/>
      <c r="E186" s="112"/>
    </row>
    <row r="187" spans="1:5" ht="21">
      <c r="A187" s="72"/>
      <c r="B187" s="122"/>
      <c r="C187" s="112"/>
      <c r="D187" s="112"/>
      <c r="E187" s="112"/>
    </row>
    <row r="188" spans="1:5" ht="21">
      <c r="A188" s="72"/>
      <c r="B188" s="122"/>
      <c r="C188" s="112"/>
      <c r="D188" s="112"/>
      <c r="E188" s="112"/>
    </row>
    <row r="189" spans="1:5" ht="21">
      <c r="A189" s="72"/>
      <c r="B189" s="122"/>
      <c r="C189" s="112"/>
      <c r="D189" s="112"/>
      <c r="E189" s="112"/>
    </row>
    <row r="190" spans="1:5" ht="21">
      <c r="A190" s="72"/>
      <c r="B190" s="122"/>
      <c r="C190" s="112"/>
      <c r="D190" s="112"/>
      <c r="E190" s="112"/>
    </row>
    <row r="191" spans="1:5" ht="21">
      <c r="A191" s="72"/>
      <c r="B191" s="122"/>
      <c r="C191" s="112"/>
      <c r="D191" s="112"/>
      <c r="E191" s="112"/>
    </row>
    <row r="192" spans="1:5" ht="21">
      <c r="A192" s="72"/>
      <c r="B192" s="122"/>
      <c r="C192" s="112"/>
      <c r="D192" s="112"/>
      <c r="E192" s="112"/>
    </row>
    <row r="193" spans="1:5" ht="21">
      <c r="A193" s="72"/>
      <c r="B193" s="122"/>
      <c r="C193" s="112"/>
      <c r="D193" s="112"/>
      <c r="E193" s="112"/>
    </row>
    <row r="194" spans="1:5" ht="21">
      <c r="A194" s="72"/>
      <c r="B194" s="122"/>
      <c r="C194" s="112"/>
      <c r="D194" s="112"/>
      <c r="E194" s="112"/>
    </row>
    <row r="195" spans="1:5" ht="21">
      <c r="A195" s="72"/>
      <c r="B195" s="122"/>
      <c r="C195" s="112"/>
      <c r="D195" s="112"/>
      <c r="E195" s="112"/>
    </row>
    <row r="196" spans="1:5" ht="21">
      <c r="A196" s="72"/>
      <c r="B196" s="122"/>
      <c r="C196" s="112"/>
      <c r="D196" s="112"/>
      <c r="E196" s="112"/>
    </row>
    <row r="197" spans="1:5" ht="21">
      <c r="A197" s="72"/>
      <c r="B197" s="122"/>
      <c r="C197" s="112"/>
      <c r="D197" s="112"/>
      <c r="E197" s="112"/>
    </row>
    <row r="198" spans="1:5" ht="21">
      <c r="A198" s="72"/>
      <c r="B198" s="122"/>
      <c r="C198" s="112"/>
      <c r="D198" s="112"/>
      <c r="E198" s="112"/>
    </row>
    <row r="199" spans="1:5" ht="21">
      <c r="A199" s="72"/>
      <c r="B199" s="122"/>
      <c r="C199" s="112"/>
      <c r="D199" s="112"/>
      <c r="E199" s="112"/>
    </row>
    <row r="200" spans="1:5" ht="21">
      <c r="A200" s="72"/>
      <c r="B200" s="122"/>
      <c r="C200" s="112"/>
      <c r="D200" s="112"/>
      <c r="E200" s="112"/>
    </row>
    <row r="201" spans="1:5" ht="21">
      <c r="A201" s="72"/>
      <c r="B201" s="122"/>
      <c r="C201" s="112"/>
      <c r="D201" s="112"/>
      <c r="E201" s="112"/>
    </row>
    <row r="202" spans="1:5" ht="21">
      <c r="A202" s="72"/>
      <c r="B202" s="122"/>
      <c r="C202" s="112"/>
      <c r="D202" s="112"/>
      <c r="E202" s="112"/>
    </row>
    <row r="203" spans="1:5" ht="21">
      <c r="A203" s="72"/>
      <c r="B203" s="122"/>
      <c r="C203" s="112"/>
      <c r="D203" s="112"/>
      <c r="E203" s="112"/>
    </row>
    <row r="204" spans="1:5" ht="21">
      <c r="A204" s="72"/>
      <c r="B204" s="122"/>
      <c r="C204" s="112"/>
      <c r="D204" s="112"/>
      <c r="E204" s="112"/>
    </row>
    <row r="205" spans="1:5" ht="21">
      <c r="A205" s="72"/>
      <c r="B205" s="122"/>
      <c r="C205" s="112"/>
      <c r="D205" s="112"/>
      <c r="E205" s="112"/>
    </row>
    <row r="206" spans="1:5" ht="21">
      <c r="A206" s="72"/>
      <c r="B206" s="122"/>
      <c r="C206" s="112"/>
      <c r="D206" s="112"/>
      <c r="E206" s="112"/>
    </row>
    <row r="207" spans="1:5" ht="21">
      <c r="A207" s="72"/>
      <c r="B207" s="122"/>
      <c r="C207" s="112"/>
      <c r="D207" s="112"/>
      <c r="E207" s="112"/>
    </row>
    <row r="208" spans="1:5" ht="21">
      <c r="A208" s="72"/>
      <c r="B208" s="122"/>
      <c r="C208" s="112"/>
      <c r="D208" s="112"/>
      <c r="E208" s="112"/>
    </row>
    <row r="209" spans="1:5" ht="21">
      <c r="A209" s="72"/>
      <c r="B209" s="122"/>
      <c r="C209" s="112"/>
      <c r="D209" s="112"/>
      <c r="E209" s="112"/>
    </row>
    <row r="210" spans="1:5" ht="21">
      <c r="A210" s="72"/>
      <c r="B210" s="122"/>
      <c r="C210" s="112"/>
      <c r="D210" s="112"/>
      <c r="E210" s="112"/>
    </row>
    <row r="211" spans="1:5" ht="21">
      <c r="A211" s="72"/>
      <c r="B211" s="122"/>
      <c r="C211" s="112"/>
      <c r="D211" s="112"/>
      <c r="E211" s="112"/>
    </row>
    <row r="212" spans="1:5" ht="21">
      <c r="A212" s="72"/>
      <c r="B212" s="122"/>
      <c r="C212" s="112"/>
      <c r="D212" s="112"/>
      <c r="E212" s="112"/>
    </row>
    <row r="213" spans="1:5" ht="21">
      <c r="A213" s="72"/>
      <c r="B213" s="122"/>
      <c r="C213" s="112"/>
      <c r="D213" s="112"/>
      <c r="E213" s="112"/>
    </row>
    <row r="214" spans="1:5" ht="21">
      <c r="A214" s="72"/>
      <c r="B214" s="122"/>
      <c r="C214" s="112"/>
      <c r="D214" s="112"/>
      <c r="E214" s="112"/>
    </row>
    <row r="215" spans="1:5" ht="21">
      <c r="A215" s="72"/>
      <c r="B215" s="122"/>
      <c r="C215" s="112"/>
      <c r="D215" s="112"/>
      <c r="E215" s="112"/>
    </row>
    <row r="216" spans="1:5" ht="21">
      <c r="A216" s="72"/>
      <c r="B216" s="122"/>
      <c r="C216" s="112"/>
      <c r="D216" s="112"/>
      <c r="E216" s="112"/>
    </row>
    <row r="217" spans="1:5" ht="21">
      <c r="A217" s="72"/>
      <c r="B217" s="122"/>
      <c r="C217" s="112"/>
      <c r="D217" s="112"/>
      <c r="E217" s="112"/>
    </row>
    <row r="218" spans="1:5" ht="21">
      <c r="A218" s="72"/>
      <c r="B218" s="122"/>
      <c r="C218" s="112"/>
      <c r="D218" s="112"/>
      <c r="E218" s="112"/>
    </row>
    <row r="219" spans="1:5" ht="21">
      <c r="A219" s="72"/>
      <c r="B219" s="122"/>
      <c r="C219" s="112"/>
      <c r="D219" s="112"/>
      <c r="E219" s="112"/>
    </row>
    <row r="220" spans="1:5" ht="21">
      <c r="A220" s="72"/>
      <c r="B220" s="122"/>
      <c r="C220" s="112"/>
      <c r="D220" s="112"/>
      <c r="E220" s="112"/>
    </row>
    <row r="221" spans="1:5" ht="21">
      <c r="A221" s="72"/>
      <c r="B221" s="122"/>
      <c r="C221" s="112"/>
      <c r="D221" s="112"/>
      <c r="E221" s="112"/>
    </row>
    <row r="222" spans="1:5" ht="21">
      <c r="A222" s="72"/>
      <c r="B222" s="122"/>
      <c r="C222" s="112"/>
      <c r="D222" s="112"/>
      <c r="E222" s="112"/>
    </row>
    <row r="223" spans="1:5" ht="21">
      <c r="A223" s="72"/>
      <c r="B223" s="122"/>
      <c r="C223" s="112"/>
      <c r="D223" s="112"/>
      <c r="E223" s="112"/>
    </row>
    <row r="224" spans="1:5" ht="21">
      <c r="A224" s="72"/>
      <c r="B224" s="122"/>
      <c r="C224" s="112"/>
      <c r="D224" s="112"/>
      <c r="E224" s="112"/>
    </row>
    <row r="225" spans="1:5" ht="21">
      <c r="A225" s="72"/>
      <c r="B225" s="122"/>
      <c r="C225" s="112"/>
      <c r="D225" s="112"/>
      <c r="E225" s="112"/>
    </row>
    <row r="226" spans="1:5" ht="21">
      <c r="A226" s="72"/>
      <c r="B226" s="122"/>
      <c r="C226" s="112"/>
      <c r="D226" s="112"/>
      <c r="E226" s="112"/>
    </row>
    <row r="227" spans="1:5" ht="21">
      <c r="A227" s="72"/>
      <c r="B227" s="122"/>
      <c r="C227" s="112"/>
      <c r="D227" s="112"/>
      <c r="E227" s="112"/>
    </row>
    <row r="228" spans="1:5" ht="21">
      <c r="A228" s="72"/>
      <c r="B228" s="122"/>
      <c r="C228" s="112"/>
      <c r="D228" s="112"/>
      <c r="E228" s="112"/>
    </row>
  </sheetData>
  <sheetProtection/>
  <mergeCells count="20">
    <mergeCell ref="A1:J1"/>
    <mergeCell ref="A2:J2"/>
    <mergeCell ref="A4:A6"/>
    <mergeCell ref="C4:D4"/>
    <mergeCell ref="E4:F4"/>
    <mergeCell ref="G4:H4"/>
    <mergeCell ref="I4:J4"/>
    <mergeCell ref="E5:F5"/>
    <mergeCell ref="G5:H5"/>
    <mergeCell ref="I5:J5"/>
    <mergeCell ref="C5:D5"/>
    <mergeCell ref="B98:D98"/>
    <mergeCell ref="E98:G98"/>
    <mergeCell ref="H98:J98"/>
    <mergeCell ref="B95:D95"/>
    <mergeCell ref="E95:G95"/>
    <mergeCell ref="H95:J95"/>
    <mergeCell ref="B97:D97"/>
    <mergeCell ref="E97:G97"/>
    <mergeCell ref="H97:J97"/>
  </mergeCells>
  <printOptions/>
  <pageMargins left="0.32" right="0.21" top="0.45" bottom="0.28" header="0.36" footer="0.15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22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8.28125" style="63" customWidth="1"/>
    <col min="2" max="2" width="13.421875" style="71" customWidth="1"/>
    <col min="3" max="4" width="19.28125" style="68" customWidth="1"/>
    <col min="5" max="5" width="12.00390625" style="63" customWidth="1"/>
    <col min="6" max="6" width="17.57421875" style="63" customWidth="1"/>
    <col min="7" max="16384" width="9.140625" style="63" customWidth="1"/>
  </cols>
  <sheetData>
    <row r="1" spans="1:43" s="60" customFormat="1" ht="25.5" customHeight="1">
      <c r="A1" s="323" t="s">
        <v>326</v>
      </c>
      <c r="B1" s="323"/>
      <c r="C1" s="323"/>
      <c r="D1" s="32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s="60" customFormat="1" ht="27" customHeight="1">
      <c r="A2" s="323" t="s">
        <v>327</v>
      </c>
      <c r="B2" s="323"/>
      <c r="C2" s="323"/>
      <c r="D2" s="32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1:4" ht="27" customHeight="1">
      <c r="A3" s="323" t="s">
        <v>329</v>
      </c>
      <c r="B3" s="323"/>
      <c r="C3" s="323"/>
      <c r="D3" s="323"/>
    </row>
    <row r="4" spans="1:4" ht="17.25" customHeight="1" thickBot="1">
      <c r="A4" s="75"/>
      <c r="B4" s="75"/>
      <c r="C4" s="75"/>
      <c r="D4" s="75"/>
    </row>
    <row r="5" spans="1:4" ht="21">
      <c r="A5" s="324" t="s">
        <v>0</v>
      </c>
      <c r="B5" s="297" t="s">
        <v>77</v>
      </c>
      <c r="C5" s="327" t="s">
        <v>145</v>
      </c>
      <c r="D5" s="328"/>
    </row>
    <row r="6" spans="1:4" ht="21">
      <c r="A6" s="325"/>
      <c r="B6" s="298"/>
      <c r="C6" s="329" t="s">
        <v>328</v>
      </c>
      <c r="D6" s="330"/>
    </row>
    <row r="7" spans="1:4" ht="18.75" customHeight="1" thickBot="1">
      <c r="A7" s="326"/>
      <c r="B7" s="89" t="s">
        <v>76</v>
      </c>
      <c r="C7" s="90" t="s">
        <v>3</v>
      </c>
      <c r="D7" s="296" t="s">
        <v>4</v>
      </c>
    </row>
    <row r="8" spans="1:4" ht="23.25">
      <c r="A8" s="6" t="s">
        <v>51</v>
      </c>
      <c r="B8" s="214" t="s">
        <v>5</v>
      </c>
      <c r="C8" s="105">
        <f>กระดาษทำการ!I8</f>
        <v>0</v>
      </c>
      <c r="D8" s="96">
        <f>'ก.ย.'!N6</f>
        <v>0</v>
      </c>
    </row>
    <row r="9" spans="1:4" ht="23.25">
      <c r="A9" s="1" t="s">
        <v>116</v>
      </c>
      <c r="B9" s="215" t="s">
        <v>6</v>
      </c>
      <c r="C9" s="105">
        <v>0</v>
      </c>
      <c r="D9" s="101">
        <f>กระดาษทำการ!J9</f>
        <v>0</v>
      </c>
    </row>
    <row r="10" spans="1:4" ht="23.25">
      <c r="A10" s="1" t="s">
        <v>130</v>
      </c>
      <c r="B10" s="215" t="s">
        <v>7</v>
      </c>
      <c r="C10" s="105">
        <v>571553.6</v>
      </c>
      <c r="D10" s="101">
        <f>กระดาษทำการ!J10</f>
        <v>0</v>
      </c>
    </row>
    <row r="11" spans="1:4" ht="23.25">
      <c r="A11" s="1" t="s">
        <v>134</v>
      </c>
      <c r="B11" s="215" t="s">
        <v>7</v>
      </c>
      <c r="C11" s="105">
        <f>กระดาษทำการ!I11</f>
        <v>10051985.700000001</v>
      </c>
      <c r="D11" s="101">
        <f>กระดาษทำการ!J11</f>
        <v>0</v>
      </c>
    </row>
    <row r="12" spans="1:4" ht="23.25">
      <c r="A12" s="1" t="s">
        <v>117</v>
      </c>
      <c r="B12" s="215" t="s">
        <v>8</v>
      </c>
      <c r="C12" s="105">
        <f>กระดาษทำการ!I12</f>
        <v>1229929.48</v>
      </c>
      <c r="D12" s="101">
        <f>กระดาษทำการ!J12</f>
        <v>0</v>
      </c>
    </row>
    <row r="13" spans="1:5" ht="23.25">
      <c r="A13" s="1" t="s">
        <v>128</v>
      </c>
      <c r="B13" s="215" t="s">
        <v>8</v>
      </c>
      <c r="C13" s="105">
        <f>กระดาษทำการ!I13</f>
        <v>1623.97</v>
      </c>
      <c r="D13" s="101">
        <f>กระดาษทำการ!J13</f>
        <v>0</v>
      </c>
      <c r="E13" s="106"/>
    </row>
    <row r="14" spans="1:4" ht="23.25">
      <c r="A14" s="1" t="s">
        <v>131</v>
      </c>
      <c r="B14" s="215" t="s">
        <v>8</v>
      </c>
      <c r="C14" s="105">
        <f>กระดาษทำการ!I14</f>
        <v>30000</v>
      </c>
      <c r="D14" s="101">
        <f>กระดาษทำการ!J14</f>
        <v>0</v>
      </c>
    </row>
    <row r="15" spans="1:5" ht="23.25">
      <c r="A15" s="1" t="s">
        <v>110</v>
      </c>
      <c r="B15" s="215" t="s">
        <v>40</v>
      </c>
      <c r="C15" s="105">
        <f>กระดาษทำการ!I15</f>
        <v>0</v>
      </c>
      <c r="D15" s="101">
        <f>กระดาษทำการ!J15</f>
        <v>0</v>
      </c>
      <c r="E15" s="106"/>
    </row>
    <row r="16" spans="1:4" ht="23.25">
      <c r="A16" s="1" t="s">
        <v>52</v>
      </c>
      <c r="B16" s="215" t="s">
        <v>111</v>
      </c>
      <c r="C16" s="105">
        <f>กระดาษทำการ!I16</f>
        <v>0</v>
      </c>
      <c r="D16" s="101">
        <f>กระดาษทำการ!J16</f>
        <v>0</v>
      </c>
    </row>
    <row r="17" spans="1:4" ht="23.25">
      <c r="A17" s="6" t="s">
        <v>10</v>
      </c>
      <c r="B17" s="215" t="s">
        <v>9</v>
      </c>
      <c r="C17" s="105">
        <f>กระดาษทำการ!I17</f>
        <v>0</v>
      </c>
      <c r="D17" s="101">
        <f>กระดาษทำการ!J17</f>
        <v>0</v>
      </c>
    </row>
    <row r="18" spans="1:6" ht="23.25">
      <c r="A18" s="1" t="s">
        <v>12</v>
      </c>
      <c r="B18" s="214" t="s">
        <v>11</v>
      </c>
      <c r="C18" s="105">
        <f>กระดาษทำการ!I18</f>
        <v>0</v>
      </c>
      <c r="D18" s="101">
        <f>กระดาษทำการ!J18</f>
        <v>0</v>
      </c>
      <c r="F18" s="106"/>
    </row>
    <row r="19" spans="1:6" ht="23.25">
      <c r="A19" s="1" t="s">
        <v>14</v>
      </c>
      <c r="B19" s="215" t="s">
        <v>13</v>
      </c>
      <c r="C19" s="105">
        <f>กระดาษทำการ!I19</f>
        <v>0</v>
      </c>
      <c r="D19" s="101">
        <f>กระดาษทำการ!J19</f>
        <v>0</v>
      </c>
      <c r="F19" s="106"/>
    </row>
    <row r="20" spans="1:4" ht="23.25">
      <c r="A20" s="1" t="s">
        <v>16</v>
      </c>
      <c r="B20" s="215" t="s">
        <v>15</v>
      </c>
      <c r="C20" s="105">
        <f>กระดาษทำการ!I20</f>
        <v>0</v>
      </c>
      <c r="D20" s="101">
        <f>กระดาษทำการ!J20</f>
        <v>0</v>
      </c>
    </row>
    <row r="21" spans="1:4" ht="23.25">
      <c r="A21" s="1" t="s">
        <v>18</v>
      </c>
      <c r="B21" s="215" t="s">
        <v>17</v>
      </c>
      <c r="C21" s="105">
        <f>กระดาษทำการ!I21</f>
        <v>0</v>
      </c>
      <c r="D21" s="101">
        <f>กระดาษทำการ!J21</f>
        <v>0</v>
      </c>
    </row>
    <row r="22" spans="1:4" ht="23.25">
      <c r="A22" s="1" t="s">
        <v>20</v>
      </c>
      <c r="B22" s="215" t="s">
        <v>19</v>
      </c>
      <c r="C22" s="105">
        <f>กระดาษทำการ!I22</f>
        <v>0</v>
      </c>
      <c r="D22" s="101">
        <f>กระดาษทำการ!J22</f>
        <v>0</v>
      </c>
    </row>
    <row r="23" spans="1:4" ht="23.25">
      <c r="A23" s="1" t="s">
        <v>22</v>
      </c>
      <c r="B23" s="215" t="s">
        <v>21</v>
      </c>
      <c r="C23" s="105">
        <f>กระดาษทำการ!I23</f>
        <v>0</v>
      </c>
      <c r="D23" s="101">
        <f>กระดาษทำการ!J23</f>
        <v>0</v>
      </c>
    </row>
    <row r="24" spans="1:4" ht="23.25">
      <c r="A24" s="1" t="s">
        <v>24</v>
      </c>
      <c r="B24" s="215" t="s">
        <v>23</v>
      </c>
      <c r="C24" s="105">
        <f>กระดาษทำการ!I24</f>
        <v>0</v>
      </c>
      <c r="D24" s="101">
        <f>กระดาษทำการ!J24</f>
        <v>0</v>
      </c>
    </row>
    <row r="25" spans="1:4" ht="23.25">
      <c r="A25" s="1" t="s">
        <v>26</v>
      </c>
      <c r="B25" s="215" t="s">
        <v>25</v>
      </c>
      <c r="C25" s="105">
        <f>กระดาษทำการ!I25</f>
        <v>0</v>
      </c>
      <c r="D25" s="101">
        <f>กระดาษทำการ!J25</f>
        <v>0</v>
      </c>
    </row>
    <row r="26" spans="1:4" ht="23.25">
      <c r="A26" s="1" t="s">
        <v>28</v>
      </c>
      <c r="B26" s="215" t="s">
        <v>27</v>
      </c>
      <c r="C26" s="105">
        <f>กระดาษทำการ!I26</f>
        <v>0</v>
      </c>
      <c r="D26" s="101">
        <f>กระดาษทำการ!J26</f>
        <v>0</v>
      </c>
    </row>
    <row r="27" spans="1:4" ht="23.25">
      <c r="A27" s="1" t="s">
        <v>113</v>
      </c>
      <c r="B27" s="215" t="s">
        <v>29</v>
      </c>
      <c r="C27" s="105">
        <f>กระดาษทำการ!I27</f>
        <v>0</v>
      </c>
      <c r="D27" s="101">
        <f>กระดาษทำการ!J27</f>
        <v>0</v>
      </c>
    </row>
    <row r="28" spans="1:4" ht="23.25">
      <c r="A28" s="1" t="s">
        <v>41</v>
      </c>
      <c r="B28" s="215" t="s">
        <v>114</v>
      </c>
      <c r="C28" s="105">
        <f>กระดาษทำการ!I28</f>
        <v>0</v>
      </c>
      <c r="D28" s="101">
        <f>กระดาษทำการ!J28</f>
        <v>799007</v>
      </c>
    </row>
    <row r="29" spans="1:6" ht="23.25">
      <c r="A29" s="1" t="s">
        <v>44</v>
      </c>
      <c r="B29" s="215" t="s">
        <v>42</v>
      </c>
      <c r="C29" s="105">
        <f>กระดาษทำการ!I29</f>
        <v>0</v>
      </c>
      <c r="D29" s="101">
        <f>กระดาษทำการ!J29</f>
        <v>6242329.047499997</v>
      </c>
      <c r="F29" s="106"/>
    </row>
    <row r="30" spans="1:4" ht="23.25">
      <c r="A30" s="1" t="s">
        <v>45</v>
      </c>
      <c r="B30" s="215" t="s">
        <v>30</v>
      </c>
      <c r="C30" s="105">
        <f>กระดาษทำการ!I30</f>
        <v>0</v>
      </c>
      <c r="D30" s="101">
        <f>กระดาษทำการ!J30</f>
        <v>2483548.6224999987</v>
      </c>
    </row>
    <row r="31" spans="1:4" ht="23.25">
      <c r="A31" s="1" t="s">
        <v>53</v>
      </c>
      <c r="B31" s="215" t="s">
        <v>43</v>
      </c>
      <c r="C31" s="105">
        <f>กระดาษทำการ!I31</f>
        <v>0</v>
      </c>
      <c r="D31" s="101">
        <f>กระดาษทำการ!J31</f>
        <v>0</v>
      </c>
    </row>
    <row r="32" spans="1:6" ht="23.25">
      <c r="A32" s="1" t="s">
        <v>32</v>
      </c>
      <c r="B32" s="215" t="s">
        <v>31</v>
      </c>
      <c r="C32" s="105">
        <f>กระดาษทำการ!I32</f>
        <v>0</v>
      </c>
      <c r="D32" s="101">
        <f>กระดาษทำการ!J32</f>
        <v>0</v>
      </c>
      <c r="F32" s="106"/>
    </row>
    <row r="33" spans="1:4" ht="23.25">
      <c r="A33" s="1" t="s">
        <v>32</v>
      </c>
      <c r="B33" s="215" t="s">
        <v>33</v>
      </c>
      <c r="C33" s="105">
        <f>กระดาษทำการ!I33</f>
        <v>0</v>
      </c>
      <c r="D33" s="101">
        <f>กระดาษทำการ!J33</f>
        <v>0</v>
      </c>
    </row>
    <row r="34" spans="1:4" ht="23.25">
      <c r="A34" s="1" t="s">
        <v>35</v>
      </c>
      <c r="B34" s="215" t="s">
        <v>46</v>
      </c>
      <c r="C34" s="105">
        <f>กระดาษทำการ!I34</f>
        <v>0</v>
      </c>
      <c r="D34" s="101">
        <f>กระดาษทำการ!J34</f>
        <v>0</v>
      </c>
    </row>
    <row r="35" spans="1:4" ht="23.25">
      <c r="A35" s="1" t="s">
        <v>136</v>
      </c>
      <c r="B35" s="215" t="s">
        <v>47</v>
      </c>
      <c r="C35" s="105">
        <f>กระดาษทำการ!I35</f>
        <v>0</v>
      </c>
      <c r="D35" s="101">
        <f>กระดาษทำการ!J35</f>
        <v>0</v>
      </c>
    </row>
    <row r="36" spans="1:4" ht="23.25">
      <c r="A36" s="1" t="s">
        <v>107</v>
      </c>
      <c r="B36" s="215">
        <v>902</v>
      </c>
      <c r="C36" s="105">
        <f>กระดาษทำการ!I36</f>
        <v>0</v>
      </c>
      <c r="D36" s="101">
        <f>กระดาษทำการ!J36</f>
        <v>9333.099999999995</v>
      </c>
    </row>
    <row r="37" spans="1:4" ht="23.25">
      <c r="A37" s="1" t="s">
        <v>48</v>
      </c>
      <c r="B37" s="215">
        <v>902</v>
      </c>
      <c r="C37" s="105">
        <f>กระดาษทำการ!I37</f>
        <v>0</v>
      </c>
      <c r="D37" s="101">
        <f>กระดาษทำการ!J37</f>
        <v>449792.5</v>
      </c>
    </row>
    <row r="38" spans="1:4" ht="23.25">
      <c r="A38" s="6" t="s">
        <v>72</v>
      </c>
      <c r="B38" s="214">
        <v>903</v>
      </c>
      <c r="C38" s="105">
        <f>กระดาษทำการ!I38</f>
        <v>0</v>
      </c>
      <c r="D38" s="101">
        <f>กระดาษทำการ!J38</f>
        <v>0</v>
      </c>
    </row>
    <row r="39" spans="1:4" ht="23.25">
      <c r="A39" s="1" t="s">
        <v>73</v>
      </c>
      <c r="B39" s="215">
        <v>904</v>
      </c>
      <c r="C39" s="105">
        <f>กระดาษทำการ!I39</f>
        <v>0</v>
      </c>
      <c r="D39" s="101">
        <f>กระดาษทำการ!J39</f>
        <v>0</v>
      </c>
    </row>
    <row r="40" spans="1:4" ht="23.25">
      <c r="A40" s="1" t="s">
        <v>74</v>
      </c>
      <c r="B40" s="215" t="s">
        <v>49</v>
      </c>
      <c r="C40" s="105">
        <f>กระดาษทำการ!I40</f>
        <v>0</v>
      </c>
      <c r="D40" s="101">
        <f>กระดาษทำการ!J40</f>
        <v>0</v>
      </c>
    </row>
    <row r="41" spans="1:4" ht="23.25">
      <c r="A41" s="1" t="s">
        <v>75</v>
      </c>
      <c r="B41" s="215" t="s">
        <v>50</v>
      </c>
      <c r="C41" s="105">
        <f>กระดาษทำการ!I41</f>
        <v>0</v>
      </c>
      <c r="D41" s="101">
        <f>กระดาษทำการ!J41</f>
        <v>412100</v>
      </c>
    </row>
    <row r="42" spans="1:4" ht="23.25">
      <c r="A42" s="1" t="s">
        <v>55</v>
      </c>
      <c r="B42" s="215">
        <v>900</v>
      </c>
      <c r="C42" s="105">
        <f>กระดาษทำการ!I42</f>
        <v>0</v>
      </c>
      <c r="D42" s="101">
        <f>กระดาษทำการ!J42</f>
        <v>0</v>
      </c>
    </row>
    <row r="43" spans="1:4" ht="23.25">
      <c r="A43" s="1" t="s">
        <v>54</v>
      </c>
      <c r="B43" s="215">
        <v>900</v>
      </c>
      <c r="C43" s="105">
        <f>กระดาษทำการ!I43</f>
        <v>0</v>
      </c>
      <c r="D43" s="101">
        <f>กระดาษทำการ!J43</f>
        <v>0</v>
      </c>
    </row>
    <row r="44" spans="1:4" ht="23.25">
      <c r="A44" s="1" t="s">
        <v>56</v>
      </c>
      <c r="B44" s="215">
        <v>900</v>
      </c>
      <c r="C44" s="105">
        <f>กระดาษทำการ!I44</f>
        <v>0</v>
      </c>
      <c r="D44" s="101">
        <f>กระดาษทำการ!J44</f>
        <v>0</v>
      </c>
    </row>
    <row r="45" spans="1:4" ht="23.25">
      <c r="A45" s="1" t="s">
        <v>56</v>
      </c>
      <c r="B45" s="215">
        <v>900</v>
      </c>
      <c r="C45" s="105">
        <f>กระดาษทำการ!I45</f>
        <v>0</v>
      </c>
      <c r="D45" s="101">
        <f>กระดาษทำการ!J45</f>
        <v>0</v>
      </c>
    </row>
    <row r="46" spans="1:4" ht="23.25">
      <c r="A46" s="1" t="s">
        <v>57</v>
      </c>
      <c r="B46" s="214" t="s">
        <v>34</v>
      </c>
      <c r="C46" s="105">
        <f>กระดาษทำการ!I46</f>
        <v>0</v>
      </c>
      <c r="D46" s="101">
        <f>กระดาษทำการ!J46</f>
        <v>0</v>
      </c>
    </row>
    <row r="47" spans="1:4" ht="23.25">
      <c r="A47" s="6" t="s">
        <v>58</v>
      </c>
      <c r="B47" s="215">
        <v>900</v>
      </c>
      <c r="C47" s="105">
        <f>กระดาษทำการ!I47</f>
        <v>0</v>
      </c>
      <c r="D47" s="101">
        <f>กระดาษทำการ!J47</f>
        <v>0</v>
      </c>
    </row>
    <row r="48" spans="1:4" ht="23.25">
      <c r="A48" s="1" t="s">
        <v>158</v>
      </c>
      <c r="B48" s="215">
        <v>900</v>
      </c>
      <c r="C48" s="105">
        <f>กระดาษทำการ!I48</f>
        <v>0</v>
      </c>
      <c r="D48" s="101">
        <f>กระดาษทำการ!J48</f>
        <v>0</v>
      </c>
    </row>
    <row r="49" spans="1:4" ht="23.25">
      <c r="A49" s="1" t="s">
        <v>166</v>
      </c>
      <c r="B49" s="215">
        <v>900</v>
      </c>
      <c r="C49" s="105">
        <f>กระดาษทำการ!I49</f>
        <v>0</v>
      </c>
      <c r="D49" s="101">
        <f>กระดาษทำการ!J49</f>
        <v>0</v>
      </c>
    </row>
    <row r="50" spans="1:4" ht="23.25">
      <c r="A50" s="1" t="s">
        <v>60</v>
      </c>
      <c r="B50" s="215">
        <v>900</v>
      </c>
      <c r="C50" s="105">
        <f>กระดาษทำการ!I50</f>
        <v>0</v>
      </c>
      <c r="D50" s="101">
        <f>กระดาษทำการ!J50</f>
        <v>1213554</v>
      </c>
    </row>
    <row r="51" spans="1:4" ht="23.25">
      <c r="A51" s="1" t="s">
        <v>61</v>
      </c>
      <c r="B51" s="215" t="s">
        <v>34</v>
      </c>
      <c r="C51" s="105">
        <f>กระดาษทำการ!I51</f>
        <v>0</v>
      </c>
      <c r="D51" s="101">
        <f>กระดาษทำการ!J51</f>
        <v>16375.48</v>
      </c>
    </row>
    <row r="52" spans="1:4" ht="23.25">
      <c r="A52" s="1" t="s">
        <v>62</v>
      </c>
      <c r="B52" s="215" t="s">
        <v>34</v>
      </c>
      <c r="C52" s="105">
        <f>กระดาษทำการ!I52</f>
        <v>0</v>
      </c>
      <c r="D52" s="101">
        <f>กระดาษทำการ!J52</f>
        <v>0</v>
      </c>
    </row>
    <row r="53" spans="1:4" ht="23.25">
      <c r="A53" s="1" t="s">
        <v>144</v>
      </c>
      <c r="B53" s="215">
        <v>900</v>
      </c>
      <c r="C53" s="105">
        <f>กระดาษทำการ!I53</f>
        <v>0</v>
      </c>
      <c r="D53" s="101">
        <f>กระดาษทำการ!J53</f>
        <v>0</v>
      </c>
    </row>
    <row r="54" spans="1:4" ht="23.25">
      <c r="A54" s="1" t="s">
        <v>64</v>
      </c>
      <c r="B54" s="215">
        <v>900</v>
      </c>
      <c r="C54" s="105">
        <f>กระดาษทำการ!I54</f>
        <v>0</v>
      </c>
      <c r="D54" s="101">
        <f>กระดาษทำการ!J54</f>
        <v>0</v>
      </c>
    </row>
    <row r="55" spans="1:4" ht="23.25">
      <c r="A55" s="1" t="s">
        <v>65</v>
      </c>
      <c r="B55" s="215">
        <v>900</v>
      </c>
      <c r="C55" s="105">
        <f>กระดาษทำการ!I55</f>
        <v>0</v>
      </c>
      <c r="D55" s="101">
        <f>กระดาษทำการ!J55</f>
        <v>0</v>
      </c>
    </row>
    <row r="56" spans="1:4" ht="23.25">
      <c r="A56" s="1" t="s">
        <v>66</v>
      </c>
      <c r="B56" s="215">
        <v>900</v>
      </c>
      <c r="C56" s="105">
        <f>กระดาษทำการ!I56</f>
        <v>0</v>
      </c>
      <c r="D56" s="101">
        <f>กระดาษทำการ!J56</f>
        <v>0</v>
      </c>
    </row>
    <row r="57" spans="1:4" ht="23.25">
      <c r="A57" s="1" t="s">
        <v>296</v>
      </c>
      <c r="B57" s="215">
        <v>900</v>
      </c>
      <c r="C57" s="105">
        <f>กระดาษทำการ!I57</f>
        <v>0</v>
      </c>
      <c r="D57" s="101">
        <f>กระดาษทำการ!J57</f>
        <v>0</v>
      </c>
    </row>
    <row r="58" spans="1:4" ht="23.25">
      <c r="A58" s="1" t="s">
        <v>142</v>
      </c>
      <c r="B58" s="215" t="s">
        <v>34</v>
      </c>
      <c r="C58" s="105">
        <f>กระดาษทำการ!I58</f>
        <v>0</v>
      </c>
      <c r="D58" s="101">
        <f>กระดาษทำการ!J58</f>
        <v>0</v>
      </c>
    </row>
    <row r="59" spans="1:4" ht="23.25">
      <c r="A59" s="1" t="s">
        <v>299</v>
      </c>
      <c r="B59" s="215" t="s">
        <v>34</v>
      </c>
      <c r="C59" s="105">
        <f>กระดาษทำการ!I59</f>
        <v>0</v>
      </c>
      <c r="D59" s="101">
        <f>กระดาษทำการ!J59</f>
        <v>0</v>
      </c>
    </row>
    <row r="60" spans="1:4" ht="23.25">
      <c r="A60" s="1" t="s">
        <v>292</v>
      </c>
      <c r="B60" s="215" t="s">
        <v>34</v>
      </c>
      <c r="C60" s="105">
        <f>กระดาษทำการ!I60</f>
        <v>0</v>
      </c>
      <c r="D60" s="101">
        <f>กระดาษทำการ!J60</f>
        <v>0</v>
      </c>
    </row>
    <row r="61" spans="1:4" ht="23.25">
      <c r="A61" s="1" t="s">
        <v>70</v>
      </c>
      <c r="B61" s="215" t="s">
        <v>34</v>
      </c>
      <c r="C61" s="105">
        <f>กระดาษทำการ!I61</f>
        <v>0</v>
      </c>
      <c r="D61" s="101">
        <f>กระดาษทำการ!J61</f>
        <v>0</v>
      </c>
    </row>
    <row r="62" spans="1:4" ht="23.25">
      <c r="A62" s="1" t="s">
        <v>127</v>
      </c>
      <c r="B62" s="215" t="s">
        <v>34</v>
      </c>
      <c r="C62" s="105">
        <f>กระดาษทำการ!I62</f>
        <v>0</v>
      </c>
      <c r="D62" s="101">
        <f>กระดาษทำการ!J62</f>
        <v>0</v>
      </c>
    </row>
    <row r="63" spans="1:4" ht="23.25">
      <c r="A63" s="1" t="s">
        <v>129</v>
      </c>
      <c r="B63" s="215" t="s">
        <v>163</v>
      </c>
      <c r="C63" s="105">
        <f>กระดาษทำการ!I63</f>
        <v>0</v>
      </c>
      <c r="D63" s="101">
        <f>กระดาษทำการ!J62</f>
        <v>0</v>
      </c>
    </row>
    <row r="64" spans="1:4" ht="23.25">
      <c r="A64" s="1" t="s">
        <v>298</v>
      </c>
      <c r="B64" s="215" t="s">
        <v>34</v>
      </c>
      <c r="C64" s="105">
        <f>กระดาษทำการ!I64</f>
        <v>0</v>
      </c>
      <c r="D64" s="101">
        <f>กระดาษทำการ!J63</f>
        <v>2256</v>
      </c>
    </row>
    <row r="65" spans="1:43" ht="23.25">
      <c r="A65" s="1" t="s">
        <v>278</v>
      </c>
      <c r="B65" s="215" t="s">
        <v>34</v>
      </c>
      <c r="C65" s="105">
        <f>กระดาษทำการ!I65</f>
        <v>0</v>
      </c>
      <c r="D65" s="101">
        <f>กระดาษทำการ!J64</f>
        <v>111797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</row>
    <row r="66" spans="1:6" ht="23.25">
      <c r="A66" s="1" t="s">
        <v>277</v>
      </c>
      <c r="B66" s="215" t="s">
        <v>34</v>
      </c>
      <c r="C66" s="105">
        <f>กระดาษทำการ!I66</f>
        <v>0</v>
      </c>
      <c r="D66" s="101">
        <f>กระดาษทำการ!J65</f>
        <v>38500</v>
      </c>
      <c r="E66" s="106"/>
      <c r="F66" s="106"/>
    </row>
    <row r="67" spans="1:5" ht="23.25">
      <c r="A67" s="1" t="s">
        <v>297</v>
      </c>
      <c r="B67" s="215" t="s">
        <v>167</v>
      </c>
      <c r="C67" s="105">
        <f>กระดาษทำการ!I67</f>
        <v>0</v>
      </c>
      <c r="D67" s="101">
        <f>กระดาษทำการ!J66</f>
        <v>13000</v>
      </c>
      <c r="E67" s="106"/>
    </row>
    <row r="68" spans="1:6" ht="23.25">
      <c r="A68" s="1" t="s">
        <v>120</v>
      </c>
      <c r="B68" s="215" t="s">
        <v>34</v>
      </c>
      <c r="C68" s="105">
        <f>กระดาษทำการ!I68</f>
        <v>0</v>
      </c>
      <c r="D68" s="101">
        <f>กระดาษทำการ!J67</f>
        <v>0</v>
      </c>
      <c r="F68" s="106"/>
    </row>
    <row r="69" spans="1:6" ht="23.25">
      <c r="A69" s="1" t="s">
        <v>165</v>
      </c>
      <c r="B69" s="215" t="s">
        <v>34</v>
      </c>
      <c r="C69" s="105">
        <f>กระดาษทำการ!I69</f>
        <v>0</v>
      </c>
      <c r="D69" s="101">
        <f>กระดาษทำการ!J68</f>
        <v>0</v>
      </c>
      <c r="F69" s="106"/>
    </row>
    <row r="70" spans="1:4" ht="23.25">
      <c r="A70" s="1" t="s">
        <v>169</v>
      </c>
      <c r="B70" s="216" t="s">
        <v>34</v>
      </c>
      <c r="C70" s="105">
        <f>กระดาษทำการ!I70</f>
        <v>0</v>
      </c>
      <c r="D70" s="101">
        <f>กระดาษทำการ!J69</f>
        <v>0</v>
      </c>
    </row>
    <row r="71" spans="1:4" ht="23.25">
      <c r="A71" s="51" t="s">
        <v>94</v>
      </c>
      <c r="B71" s="216" t="s">
        <v>79</v>
      </c>
      <c r="C71" s="105">
        <f>กระดาษทำการ!I71</f>
        <v>0</v>
      </c>
      <c r="D71" s="101">
        <f>กระดาษทำการ!J70</f>
        <v>0</v>
      </c>
    </row>
    <row r="72" spans="1:4" ht="23.25">
      <c r="A72" s="51" t="s">
        <v>95</v>
      </c>
      <c r="B72" s="216" t="s">
        <v>80</v>
      </c>
      <c r="C72" s="105">
        <f>กระดาษทำการ!I72</f>
        <v>0</v>
      </c>
      <c r="D72" s="101">
        <f>กระดาษทำการ!J71</f>
        <v>0</v>
      </c>
    </row>
    <row r="73" spans="1:4" ht="23.25">
      <c r="A73" s="51" t="s">
        <v>96</v>
      </c>
      <c r="B73" s="216" t="s">
        <v>81</v>
      </c>
      <c r="C73" s="105">
        <f>กระดาษทำการ!I73</f>
        <v>0</v>
      </c>
      <c r="D73" s="101">
        <f>กระดาษทำการ!J72</f>
        <v>0</v>
      </c>
    </row>
    <row r="74" spans="1:4" ht="23.25">
      <c r="A74" s="51" t="s">
        <v>164</v>
      </c>
      <c r="B74" s="216" t="s">
        <v>162</v>
      </c>
      <c r="C74" s="105">
        <f>กระดาษทำการ!I74</f>
        <v>0</v>
      </c>
      <c r="D74" s="101">
        <f>กระดาษทำการ!J73</f>
        <v>0</v>
      </c>
    </row>
    <row r="75" spans="1:6" ht="23.25">
      <c r="A75" s="51" t="s">
        <v>97</v>
      </c>
      <c r="B75" s="216" t="s">
        <v>83</v>
      </c>
      <c r="C75" s="105">
        <f>กระดาษทำการ!I75</f>
        <v>0</v>
      </c>
      <c r="D75" s="101">
        <f>กระดาษทำการ!J74</f>
        <v>0</v>
      </c>
      <c r="F75" s="106"/>
    </row>
    <row r="76" spans="1:6" ht="23.25">
      <c r="A76" s="51" t="s">
        <v>125</v>
      </c>
      <c r="B76" s="216" t="s">
        <v>160</v>
      </c>
      <c r="C76" s="105">
        <f>กระดาษทำการ!I76</f>
        <v>0</v>
      </c>
      <c r="D76" s="101">
        <f>กระดาษทำการ!J75</f>
        <v>0</v>
      </c>
      <c r="F76" s="106"/>
    </row>
    <row r="77" spans="1:6" ht="23.25">
      <c r="A77" s="51" t="s">
        <v>123</v>
      </c>
      <c r="B77" s="216" t="s">
        <v>161</v>
      </c>
      <c r="C77" s="105">
        <f>กระดาษทำการ!I77</f>
        <v>0</v>
      </c>
      <c r="D77" s="101">
        <f>กระดาษทำการ!J76</f>
        <v>0</v>
      </c>
      <c r="F77" s="106"/>
    </row>
    <row r="78" spans="1:6" ht="23.25">
      <c r="A78" s="51" t="s">
        <v>98</v>
      </c>
      <c r="B78" s="216" t="s">
        <v>85</v>
      </c>
      <c r="C78" s="105">
        <f>กระดาษทำการ!I78</f>
        <v>0</v>
      </c>
      <c r="D78" s="101">
        <f>กระดาษทำการ!J77</f>
        <v>0</v>
      </c>
      <c r="F78" s="106"/>
    </row>
    <row r="79" spans="1:6" ht="23.25">
      <c r="A79" s="51" t="s">
        <v>99</v>
      </c>
      <c r="B79" s="216" t="s">
        <v>86</v>
      </c>
      <c r="C79" s="105">
        <f>กระดาษทำการ!I79</f>
        <v>0</v>
      </c>
      <c r="D79" s="101">
        <f>กระดาษทำการ!J78</f>
        <v>0</v>
      </c>
      <c r="F79" s="106"/>
    </row>
    <row r="80" spans="1:6" ht="23.25">
      <c r="A80" s="51" t="s">
        <v>100</v>
      </c>
      <c r="B80" s="216" t="s">
        <v>87</v>
      </c>
      <c r="C80" s="105">
        <f>กระดาษทำการ!I80</f>
        <v>0</v>
      </c>
      <c r="D80" s="101">
        <f>กระดาษทำการ!J79</f>
        <v>0</v>
      </c>
      <c r="E80" s="107"/>
      <c r="F80" s="106"/>
    </row>
    <row r="81" spans="1:6" ht="23.25">
      <c r="A81" s="51" t="s">
        <v>293</v>
      </c>
      <c r="B81" s="216" t="s">
        <v>88</v>
      </c>
      <c r="C81" s="105">
        <f>กระดาษทำการ!I81</f>
        <v>0</v>
      </c>
      <c r="D81" s="101">
        <f>กระดาษทำการ!J80</f>
        <v>0</v>
      </c>
      <c r="E81" s="107"/>
      <c r="F81" s="106"/>
    </row>
    <row r="82" spans="1:6" ht="23.25">
      <c r="A82" s="51" t="s">
        <v>280</v>
      </c>
      <c r="B82" s="216" t="s">
        <v>89</v>
      </c>
      <c r="C82" s="105">
        <f>กระดาษทำการ!I82</f>
        <v>0</v>
      </c>
      <c r="D82" s="101">
        <f>กระดาษทำการ!J81</f>
        <v>0</v>
      </c>
      <c r="F82" s="106"/>
    </row>
    <row r="83" spans="1:4" ht="23.25">
      <c r="A83" s="51" t="s">
        <v>124</v>
      </c>
      <c r="B83" s="216" t="s">
        <v>133</v>
      </c>
      <c r="C83" s="105">
        <f>กระดาษทำการ!I83</f>
        <v>0</v>
      </c>
      <c r="D83" s="101">
        <f>กระดาษทำการ!J82</f>
        <v>0</v>
      </c>
    </row>
    <row r="84" spans="1:4" ht="23.25">
      <c r="A84" s="51" t="s">
        <v>132</v>
      </c>
      <c r="B84" s="216" t="s">
        <v>90</v>
      </c>
      <c r="C84" s="105">
        <f>กระดาษทำการ!I84</f>
        <v>0</v>
      </c>
      <c r="D84" s="101">
        <f>กระดาษทำการ!J83</f>
        <v>0</v>
      </c>
    </row>
    <row r="85" spans="1:4" ht="23.25">
      <c r="A85" s="51" t="s">
        <v>294</v>
      </c>
      <c r="B85" s="216" t="s">
        <v>91</v>
      </c>
      <c r="C85" s="105">
        <f>กระดาษทำการ!I85</f>
        <v>0</v>
      </c>
      <c r="D85" s="101">
        <f>กระดาษทำการ!J84</f>
        <v>0</v>
      </c>
    </row>
    <row r="86" spans="1:4" ht="23.25">
      <c r="A86" s="51" t="s">
        <v>295</v>
      </c>
      <c r="B86" s="216" t="s">
        <v>92</v>
      </c>
      <c r="C86" s="105">
        <f>กระดาษทำการ!I86</f>
        <v>0</v>
      </c>
      <c r="D86" s="101">
        <f>กระดาษทำการ!J85</f>
        <v>0</v>
      </c>
    </row>
    <row r="87" spans="1:4" ht="23.25">
      <c r="A87" s="51" t="s">
        <v>104</v>
      </c>
      <c r="B87" s="216" t="s">
        <v>93</v>
      </c>
      <c r="C87" s="105">
        <f>กระดาษทำการ!I87</f>
        <v>0</v>
      </c>
      <c r="D87" s="101">
        <f>กระดาษทำการ!J86</f>
        <v>0</v>
      </c>
    </row>
    <row r="88" spans="1:4" ht="23.25">
      <c r="A88" s="51" t="s">
        <v>105</v>
      </c>
      <c r="B88" s="216" t="s">
        <v>133</v>
      </c>
      <c r="C88" s="105">
        <f>กระดาษทำการ!I88</f>
        <v>0</v>
      </c>
      <c r="D88" s="101">
        <f>กระดาษทำการ!J87</f>
        <v>0</v>
      </c>
    </row>
    <row r="89" spans="1:4" ht="23.25">
      <c r="A89" s="1" t="s">
        <v>106</v>
      </c>
      <c r="B89" s="216" t="s">
        <v>159</v>
      </c>
      <c r="C89" s="105">
        <f>กระดาษทำการ!I89</f>
        <v>0</v>
      </c>
      <c r="D89" s="101">
        <f>กระดาษทำการ!J88</f>
        <v>0</v>
      </c>
    </row>
    <row r="90" spans="1:4" ht="23.25">
      <c r="A90" s="51" t="s">
        <v>140</v>
      </c>
      <c r="B90" s="216"/>
      <c r="C90" s="105">
        <f>กระดาษทำการ!I90</f>
        <v>0</v>
      </c>
      <c r="D90" s="101">
        <f>กระดาษทำการ!J89</f>
        <v>0</v>
      </c>
    </row>
    <row r="91" spans="1:4" ht="23.25">
      <c r="A91" s="1" t="s">
        <v>143</v>
      </c>
      <c r="B91" s="216"/>
      <c r="C91" s="105">
        <f>กระดาษทำการ!I91</f>
        <v>0</v>
      </c>
      <c r="D91" s="101">
        <f>กระดาษทำการ!J90</f>
        <v>0</v>
      </c>
    </row>
    <row r="92" spans="1:4" ht="23.25">
      <c r="A92" s="257" t="s">
        <v>307</v>
      </c>
      <c r="B92" s="216"/>
      <c r="C92" s="105">
        <f>กระดาษทำการ!I92</f>
        <v>0</v>
      </c>
      <c r="D92" s="101">
        <f>กระดาษทำการ!J91</f>
        <v>40000</v>
      </c>
    </row>
    <row r="93" spans="1:4" ht="24" thickBot="1">
      <c r="A93" s="257" t="s">
        <v>306</v>
      </c>
      <c r="B93" s="218" t="s">
        <v>168</v>
      </c>
      <c r="C93" s="105"/>
      <c r="D93" s="101">
        <f>กระดาษทำการ!J92</f>
        <v>53500</v>
      </c>
    </row>
    <row r="94" spans="1:6" ht="21.75" thickBot="1">
      <c r="A94" s="65"/>
      <c r="B94" s="108"/>
      <c r="C94" s="221">
        <f>SUM(C8:C93)</f>
        <v>11885092.750000002</v>
      </c>
      <c r="D94" s="222">
        <f>SUM(D8:D93)</f>
        <v>11885092.749999994</v>
      </c>
      <c r="E94" s="64"/>
      <c r="F94" s="64"/>
    </row>
    <row r="95" spans="1:4" ht="21.75" customHeight="1" thickTop="1">
      <c r="A95" s="66"/>
      <c r="B95" s="67"/>
      <c r="C95" s="112"/>
      <c r="D95" s="113">
        <f>C94-D94</f>
        <v>0</v>
      </c>
    </row>
    <row r="96" spans="1:7" ht="21.75">
      <c r="A96" s="291" t="s">
        <v>319</v>
      </c>
      <c r="B96" s="322" t="s">
        <v>152</v>
      </c>
      <c r="C96" s="322"/>
      <c r="D96" s="292" t="s">
        <v>152</v>
      </c>
      <c r="E96" s="69"/>
      <c r="F96" s="69"/>
      <c r="G96" s="69"/>
    </row>
    <row r="97" spans="1:7" ht="26.25" customHeight="1">
      <c r="A97" s="293"/>
      <c r="B97" s="294"/>
      <c r="C97" s="295"/>
      <c r="D97" s="295"/>
      <c r="E97" s="68"/>
      <c r="F97" s="68"/>
      <c r="G97" s="68"/>
    </row>
    <row r="98" spans="1:7" ht="21.75">
      <c r="A98" s="291" t="s">
        <v>320</v>
      </c>
      <c r="B98" s="322" t="s">
        <v>325</v>
      </c>
      <c r="C98" s="322"/>
      <c r="D98" s="292" t="s">
        <v>321</v>
      </c>
      <c r="E98" s="70"/>
      <c r="F98" s="70"/>
      <c r="G98" s="70"/>
    </row>
    <row r="99" spans="1:7" ht="21.75">
      <c r="A99" s="291" t="s">
        <v>322</v>
      </c>
      <c r="B99" s="322" t="s">
        <v>323</v>
      </c>
      <c r="C99" s="322"/>
      <c r="D99" s="292" t="s">
        <v>324</v>
      </c>
      <c r="E99" s="70"/>
      <c r="F99" s="70"/>
      <c r="G99" s="70"/>
    </row>
    <row r="102" spans="1:4" ht="21">
      <c r="A102" s="72"/>
      <c r="B102" s="122"/>
      <c r="C102" s="112"/>
      <c r="D102" s="112"/>
    </row>
    <row r="103" spans="1:4" ht="21">
      <c r="A103" s="123"/>
      <c r="B103" s="122"/>
      <c r="C103" s="112"/>
      <c r="D103" s="112"/>
    </row>
    <row r="104" spans="1:4" ht="21">
      <c r="A104" s="72"/>
      <c r="B104" s="122"/>
      <c r="C104" s="112"/>
      <c r="D104" s="112"/>
    </row>
    <row r="105" spans="1:4" ht="21">
      <c r="A105" s="72"/>
      <c r="B105" s="122"/>
      <c r="C105" s="112"/>
      <c r="D105" s="112"/>
    </row>
    <row r="106" spans="1:4" ht="21">
      <c r="A106" s="72"/>
      <c r="B106" s="122"/>
      <c r="C106" s="112"/>
      <c r="D106" s="112"/>
    </row>
    <row r="107" spans="1:4" ht="21">
      <c r="A107" s="72"/>
      <c r="B107" s="122"/>
      <c r="C107" s="112"/>
      <c r="D107" s="112"/>
    </row>
    <row r="108" spans="1:4" ht="21">
      <c r="A108" s="72"/>
      <c r="B108" s="122"/>
      <c r="C108" s="112"/>
      <c r="D108" s="112"/>
    </row>
    <row r="109" spans="1:4" ht="21">
      <c r="A109" s="72"/>
      <c r="B109" s="122"/>
      <c r="C109" s="112"/>
      <c r="D109" s="112"/>
    </row>
    <row r="110" spans="1:4" ht="21">
      <c r="A110" s="72"/>
      <c r="B110" s="122"/>
      <c r="C110" s="112"/>
      <c r="D110" s="112"/>
    </row>
    <row r="111" spans="1:4" ht="21">
      <c r="A111" s="66"/>
      <c r="B111" s="122"/>
      <c r="C111" s="112"/>
      <c r="D111" s="112"/>
    </row>
    <row r="112" spans="1:4" ht="21">
      <c r="A112" s="66"/>
      <c r="B112" s="122"/>
      <c r="C112" s="112"/>
      <c r="D112" s="112"/>
    </row>
    <row r="113" spans="1:4" ht="21">
      <c r="A113" s="66"/>
      <c r="B113" s="122"/>
      <c r="C113" s="112"/>
      <c r="D113" s="112"/>
    </row>
    <row r="114" spans="1:43" s="68" customFormat="1" ht="21">
      <c r="A114" s="66"/>
      <c r="B114" s="122"/>
      <c r="C114" s="112"/>
      <c r="D114" s="11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</row>
    <row r="115" spans="1:43" s="68" customFormat="1" ht="21">
      <c r="A115" s="66"/>
      <c r="B115" s="122"/>
      <c r="C115" s="112"/>
      <c r="D115" s="11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</row>
    <row r="116" spans="1:43" s="68" customFormat="1" ht="21">
      <c r="A116" s="66"/>
      <c r="B116" s="122"/>
      <c r="C116" s="112"/>
      <c r="D116" s="11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</row>
    <row r="117" spans="1:43" s="68" customFormat="1" ht="21">
      <c r="A117" s="72"/>
      <c r="B117" s="122"/>
      <c r="C117" s="112"/>
      <c r="D117" s="11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</row>
    <row r="118" spans="1:43" s="68" customFormat="1" ht="21">
      <c r="A118" s="72"/>
      <c r="B118" s="122"/>
      <c r="C118" s="112"/>
      <c r="D118" s="11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</row>
    <row r="119" spans="1:43" s="68" customFormat="1" ht="21">
      <c r="A119" s="72"/>
      <c r="B119" s="122"/>
      <c r="C119" s="112"/>
      <c r="D119" s="11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</row>
    <row r="120" spans="1:43" s="68" customFormat="1" ht="21">
      <c r="A120" s="72"/>
      <c r="B120" s="122"/>
      <c r="C120" s="112"/>
      <c r="D120" s="112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</row>
    <row r="121" spans="1:43" s="68" customFormat="1" ht="21">
      <c r="A121" s="72"/>
      <c r="B121" s="122"/>
      <c r="C121" s="112"/>
      <c r="D121" s="11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</row>
    <row r="122" spans="1:43" s="68" customFormat="1" ht="21">
      <c r="A122" s="66"/>
      <c r="B122" s="122"/>
      <c r="C122" s="112"/>
      <c r="D122" s="112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</row>
    <row r="123" spans="1:43" s="68" customFormat="1" ht="21">
      <c r="A123" s="66"/>
      <c r="B123" s="122"/>
      <c r="C123" s="112"/>
      <c r="D123" s="11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</row>
    <row r="124" spans="1:43" s="68" customFormat="1" ht="21">
      <c r="A124" s="66"/>
      <c r="B124" s="122"/>
      <c r="C124" s="112"/>
      <c r="D124" s="112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</row>
    <row r="125" spans="1:43" s="68" customFormat="1" ht="21">
      <c r="A125" s="66"/>
      <c r="B125" s="122"/>
      <c r="C125" s="112"/>
      <c r="D125" s="11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</row>
    <row r="126" spans="1:43" s="68" customFormat="1" ht="21">
      <c r="A126" s="66"/>
      <c r="B126" s="122"/>
      <c r="C126" s="112"/>
      <c r="D126" s="112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</row>
    <row r="127" spans="1:43" s="68" customFormat="1" ht="21">
      <c r="A127" s="66"/>
      <c r="B127" s="122"/>
      <c r="C127" s="112"/>
      <c r="D127" s="11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</row>
    <row r="128" spans="1:43" s="68" customFormat="1" ht="21">
      <c r="A128" s="72"/>
      <c r="B128" s="122"/>
      <c r="C128" s="112"/>
      <c r="D128" s="112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</row>
    <row r="129" spans="1:43" s="68" customFormat="1" ht="21">
      <c r="A129" s="72"/>
      <c r="B129" s="122"/>
      <c r="C129" s="112"/>
      <c r="D129" s="11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</row>
    <row r="130" spans="1:43" s="68" customFormat="1" ht="21">
      <c r="A130" s="72"/>
      <c r="B130" s="122"/>
      <c r="C130" s="112"/>
      <c r="D130" s="112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</row>
    <row r="131" spans="1:43" s="68" customFormat="1" ht="21">
      <c r="A131" s="72"/>
      <c r="B131" s="122"/>
      <c r="C131" s="112"/>
      <c r="D131" s="11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</row>
    <row r="132" spans="1:43" s="68" customFormat="1" ht="21">
      <c r="A132" s="72"/>
      <c r="B132" s="122"/>
      <c r="C132" s="112"/>
      <c r="D132" s="112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</row>
    <row r="133" spans="1:43" s="68" customFormat="1" ht="21">
      <c r="A133" s="72"/>
      <c r="B133" s="122"/>
      <c r="C133" s="112"/>
      <c r="D133" s="112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</row>
    <row r="134" spans="1:43" s="68" customFormat="1" ht="21">
      <c r="A134" s="72"/>
      <c r="B134" s="122"/>
      <c r="C134" s="112"/>
      <c r="D134" s="112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</row>
    <row r="135" spans="1:43" s="68" customFormat="1" ht="21">
      <c r="A135" s="72"/>
      <c r="B135" s="122"/>
      <c r="C135" s="112"/>
      <c r="D135" s="11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</row>
    <row r="136" spans="1:43" s="68" customFormat="1" ht="21">
      <c r="A136" s="72"/>
      <c r="B136" s="122"/>
      <c r="C136" s="112"/>
      <c r="D136" s="112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</row>
    <row r="137" spans="1:43" s="68" customFormat="1" ht="21">
      <c r="A137" s="72"/>
      <c r="B137" s="122"/>
      <c r="C137" s="112"/>
      <c r="D137" s="11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</row>
    <row r="138" spans="1:43" s="68" customFormat="1" ht="21">
      <c r="A138" s="72"/>
      <c r="B138" s="122"/>
      <c r="C138" s="112"/>
      <c r="D138" s="112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</row>
    <row r="139" spans="1:43" s="68" customFormat="1" ht="21">
      <c r="A139" s="72"/>
      <c r="B139" s="122"/>
      <c r="C139" s="112"/>
      <c r="D139" s="11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</row>
    <row r="140" spans="1:43" s="68" customFormat="1" ht="21">
      <c r="A140" s="72"/>
      <c r="B140" s="122"/>
      <c r="C140" s="112"/>
      <c r="D140" s="112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</row>
    <row r="141" spans="1:43" s="68" customFormat="1" ht="21">
      <c r="A141" s="72"/>
      <c r="B141" s="122"/>
      <c r="C141" s="112"/>
      <c r="D141" s="11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</row>
    <row r="142" spans="1:43" s="68" customFormat="1" ht="21">
      <c r="A142" s="72"/>
      <c r="B142" s="122"/>
      <c r="C142" s="112"/>
      <c r="D142" s="112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</row>
    <row r="143" spans="1:43" s="68" customFormat="1" ht="21">
      <c r="A143" s="72"/>
      <c r="B143" s="122"/>
      <c r="C143" s="112"/>
      <c r="D143" s="11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</row>
    <row r="144" spans="1:43" s="68" customFormat="1" ht="21">
      <c r="A144" s="66"/>
      <c r="B144" s="122"/>
      <c r="C144" s="112"/>
      <c r="D144" s="112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</row>
    <row r="145" spans="1:43" s="68" customFormat="1" ht="21">
      <c r="A145" s="72"/>
      <c r="B145" s="122"/>
      <c r="C145" s="112"/>
      <c r="D145" s="11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</row>
    <row r="146" spans="1:43" s="68" customFormat="1" ht="21">
      <c r="A146" s="66"/>
      <c r="B146" s="122"/>
      <c r="C146" s="112"/>
      <c r="D146" s="112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</row>
    <row r="147" spans="1:43" s="68" customFormat="1" ht="21">
      <c r="A147" s="66"/>
      <c r="B147" s="122"/>
      <c r="C147" s="112"/>
      <c r="D147" s="11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</row>
    <row r="148" spans="1:43" s="68" customFormat="1" ht="21">
      <c r="A148" s="66"/>
      <c r="B148" s="122"/>
      <c r="C148" s="112"/>
      <c r="D148" s="112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</row>
    <row r="149" spans="1:43" s="68" customFormat="1" ht="21">
      <c r="A149" s="66"/>
      <c r="B149" s="122"/>
      <c r="C149" s="112"/>
      <c r="D149" s="11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</row>
    <row r="150" spans="1:43" s="68" customFormat="1" ht="21">
      <c r="A150" s="66"/>
      <c r="B150" s="122"/>
      <c r="C150" s="112"/>
      <c r="D150" s="112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</row>
    <row r="151" spans="1:43" s="68" customFormat="1" ht="21">
      <c r="A151" s="66"/>
      <c r="B151" s="122"/>
      <c r="C151" s="112"/>
      <c r="D151" s="11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</row>
    <row r="152" spans="1:43" s="68" customFormat="1" ht="21">
      <c r="A152" s="66"/>
      <c r="B152" s="122"/>
      <c r="C152" s="112"/>
      <c r="D152" s="112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</row>
    <row r="153" spans="1:43" s="68" customFormat="1" ht="21">
      <c r="A153" s="124"/>
      <c r="B153" s="122"/>
      <c r="C153" s="112"/>
      <c r="D153" s="11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</row>
    <row r="154" spans="1:43" s="68" customFormat="1" ht="21">
      <c r="A154" s="124"/>
      <c r="B154" s="122"/>
      <c r="C154" s="112"/>
      <c r="D154" s="112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</row>
    <row r="155" spans="1:43" s="68" customFormat="1" ht="21">
      <c r="A155" s="72"/>
      <c r="B155" s="122"/>
      <c r="C155" s="112"/>
      <c r="D155" s="112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</row>
    <row r="156" spans="1:43" s="68" customFormat="1" ht="21">
      <c r="A156" s="72"/>
      <c r="B156" s="122"/>
      <c r="C156" s="112"/>
      <c r="D156" s="112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</row>
    <row r="157" spans="1:43" s="68" customFormat="1" ht="21">
      <c r="A157" s="72"/>
      <c r="B157" s="122"/>
      <c r="C157" s="112"/>
      <c r="D157" s="11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</row>
    <row r="158" spans="1:43" s="68" customFormat="1" ht="21">
      <c r="A158" s="72"/>
      <c r="B158" s="122"/>
      <c r="C158" s="112"/>
      <c r="D158" s="112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</row>
    <row r="159" spans="1:43" s="68" customFormat="1" ht="21">
      <c r="A159" s="72"/>
      <c r="B159" s="122"/>
      <c r="C159" s="112"/>
      <c r="D159" s="11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</row>
    <row r="160" spans="1:43" s="68" customFormat="1" ht="21">
      <c r="A160" s="72"/>
      <c r="B160" s="122"/>
      <c r="C160" s="112"/>
      <c r="D160" s="112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</row>
    <row r="161" spans="1:43" s="68" customFormat="1" ht="21">
      <c r="A161" s="72"/>
      <c r="B161" s="122"/>
      <c r="C161" s="112"/>
      <c r="D161" s="11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</row>
    <row r="162" spans="1:43" s="68" customFormat="1" ht="21">
      <c r="A162" s="72"/>
      <c r="B162" s="122"/>
      <c r="C162" s="112"/>
      <c r="D162" s="112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</row>
    <row r="163" spans="1:43" s="68" customFormat="1" ht="21">
      <c r="A163" s="72"/>
      <c r="B163" s="122"/>
      <c r="C163" s="112"/>
      <c r="D163" s="11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</row>
    <row r="164" spans="1:43" s="68" customFormat="1" ht="21">
      <c r="A164" s="72"/>
      <c r="B164" s="122"/>
      <c r="C164" s="112"/>
      <c r="D164" s="112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</row>
    <row r="165" spans="1:43" s="68" customFormat="1" ht="21">
      <c r="A165" s="72"/>
      <c r="B165" s="122"/>
      <c r="C165" s="112"/>
      <c r="D165" s="11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</row>
    <row r="166" spans="1:43" s="68" customFormat="1" ht="21">
      <c r="A166" s="72"/>
      <c r="B166" s="122"/>
      <c r="C166" s="112"/>
      <c r="D166" s="112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</row>
    <row r="167" spans="1:43" s="68" customFormat="1" ht="21">
      <c r="A167" s="72"/>
      <c r="B167" s="122"/>
      <c r="C167" s="112"/>
      <c r="D167" s="11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</row>
    <row r="168" spans="1:43" s="68" customFormat="1" ht="21">
      <c r="A168" s="72"/>
      <c r="B168" s="122"/>
      <c r="C168" s="112"/>
      <c r="D168" s="112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</row>
    <row r="169" spans="1:43" s="68" customFormat="1" ht="21">
      <c r="A169" s="72"/>
      <c r="B169" s="122"/>
      <c r="C169" s="112"/>
      <c r="D169" s="11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</row>
    <row r="170" spans="1:43" s="68" customFormat="1" ht="21">
      <c r="A170" s="72"/>
      <c r="B170" s="122"/>
      <c r="C170" s="112"/>
      <c r="D170" s="112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</row>
    <row r="171" spans="1:43" s="68" customFormat="1" ht="21">
      <c r="A171" s="72"/>
      <c r="B171" s="122"/>
      <c r="C171" s="112"/>
      <c r="D171" s="11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</row>
    <row r="172" spans="1:43" s="68" customFormat="1" ht="21">
      <c r="A172" s="72"/>
      <c r="B172" s="122"/>
      <c r="C172" s="112"/>
      <c r="D172" s="112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</row>
    <row r="173" spans="1:43" s="68" customFormat="1" ht="21">
      <c r="A173" s="72"/>
      <c r="B173" s="122"/>
      <c r="C173" s="112"/>
      <c r="D173" s="11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</row>
    <row r="174" spans="1:43" s="68" customFormat="1" ht="21">
      <c r="A174" s="72"/>
      <c r="B174" s="122"/>
      <c r="C174" s="112"/>
      <c r="D174" s="112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</row>
    <row r="175" spans="1:43" s="68" customFormat="1" ht="21">
      <c r="A175" s="72"/>
      <c r="B175" s="122"/>
      <c r="C175" s="112"/>
      <c r="D175" s="11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</row>
    <row r="176" spans="1:43" s="68" customFormat="1" ht="21">
      <c r="A176" s="72"/>
      <c r="B176" s="122"/>
      <c r="C176" s="112"/>
      <c r="D176" s="112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</row>
    <row r="177" spans="1:43" s="68" customFormat="1" ht="21">
      <c r="A177" s="72"/>
      <c r="B177" s="122"/>
      <c r="C177" s="112"/>
      <c r="D177" s="112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</row>
    <row r="178" spans="1:43" s="68" customFormat="1" ht="21">
      <c r="A178" s="72"/>
      <c r="B178" s="122"/>
      <c r="C178" s="112"/>
      <c r="D178" s="112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</row>
    <row r="179" spans="1:43" s="68" customFormat="1" ht="21">
      <c r="A179" s="72"/>
      <c r="B179" s="122"/>
      <c r="C179" s="112"/>
      <c r="D179" s="11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</row>
    <row r="180" spans="1:43" s="68" customFormat="1" ht="21">
      <c r="A180" s="72"/>
      <c r="B180" s="122"/>
      <c r="C180" s="112"/>
      <c r="D180" s="112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</row>
    <row r="181" spans="1:43" s="68" customFormat="1" ht="21">
      <c r="A181" s="72"/>
      <c r="B181" s="122"/>
      <c r="C181" s="112"/>
      <c r="D181" s="11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</row>
    <row r="182" spans="1:43" s="68" customFormat="1" ht="21">
      <c r="A182" s="72"/>
      <c r="B182" s="122"/>
      <c r="C182" s="112"/>
      <c r="D182" s="112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</row>
    <row r="183" spans="1:43" s="68" customFormat="1" ht="21">
      <c r="A183" s="72"/>
      <c r="B183" s="122"/>
      <c r="C183" s="112"/>
      <c r="D183" s="11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</row>
    <row r="184" spans="1:43" s="68" customFormat="1" ht="21">
      <c r="A184" s="72"/>
      <c r="B184" s="122"/>
      <c r="C184" s="112"/>
      <c r="D184" s="112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</row>
    <row r="185" spans="1:43" s="68" customFormat="1" ht="21">
      <c r="A185" s="72"/>
      <c r="B185" s="122"/>
      <c r="C185" s="112"/>
      <c r="D185" s="11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</row>
    <row r="186" spans="1:43" s="68" customFormat="1" ht="21">
      <c r="A186" s="72"/>
      <c r="B186" s="122"/>
      <c r="C186" s="112"/>
      <c r="D186" s="112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</row>
    <row r="187" spans="1:43" s="68" customFormat="1" ht="21">
      <c r="A187" s="72"/>
      <c r="B187" s="122"/>
      <c r="C187" s="112"/>
      <c r="D187" s="11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</row>
    <row r="188" spans="1:43" s="68" customFormat="1" ht="21">
      <c r="A188" s="72"/>
      <c r="B188" s="122"/>
      <c r="C188" s="112"/>
      <c r="D188" s="112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</row>
    <row r="189" spans="1:43" s="68" customFormat="1" ht="21">
      <c r="A189" s="72"/>
      <c r="B189" s="122"/>
      <c r="C189" s="112"/>
      <c r="D189" s="11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</row>
    <row r="190" spans="1:43" s="68" customFormat="1" ht="21">
      <c r="A190" s="72"/>
      <c r="B190" s="122"/>
      <c r="C190" s="112"/>
      <c r="D190" s="112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</row>
    <row r="191" spans="1:43" s="68" customFormat="1" ht="21">
      <c r="A191" s="72"/>
      <c r="B191" s="122"/>
      <c r="C191" s="112"/>
      <c r="D191" s="11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</row>
    <row r="192" spans="1:43" s="68" customFormat="1" ht="21">
      <c r="A192" s="72"/>
      <c r="B192" s="122"/>
      <c r="C192" s="112"/>
      <c r="D192" s="112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</row>
    <row r="193" spans="1:43" s="68" customFormat="1" ht="21">
      <c r="A193" s="72"/>
      <c r="B193" s="122"/>
      <c r="C193" s="112"/>
      <c r="D193" s="11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</row>
    <row r="194" spans="1:43" s="68" customFormat="1" ht="21">
      <c r="A194" s="72"/>
      <c r="B194" s="122"/>
      <c r="C194" s="112"/>
      <c r="D194" s="112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</row>
    <row r="195" spans="1:43" s="68" customFormat="1" ht="21">
      <c r="A195" s="72"/>
      <c r="B195" s="122"/>
      <c r="C195" s="112"/>
      <c r="D195" s="11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</row>
    <row r="196" spans="1:43" s="68" customFormat="1" ht="21">
      <c r="A196" s="72"/>
      <c r="B196" s="122"/>
      <c r="C196" s="112"/>
      <c r="D196" s="112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</row>
    <row r="197" spans="1:43" s="68" customFormat="1" ht="21">
      <c r="A197" s="72"/>
      <c r="B197" s="122"/>
      <c r="C197" s="112"/>
      <c r="D197" s="11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</row>
    <row r="198" spans="1:43" s="68" customFormat="1" ht="21">
      <c r="A198" s="72"/>
      <c r="B198" s="122"/>
      <c r="C198" s="112"/>
      <c r="D198" s="112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</row>
    <row r="199" spans="1:43" s="68" customFormat="1" ht="21">
      <c r="A199" s="72"/>
      <c r="B199" s="122"/>
      <c r="C199" s="112"/>
      <c r="D199" s="112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</row>
    <row r="200" spans="1:43" s="68" customFormat="1" ht="21">
      <c r="A200" s="72"/>
      <c r="B200" s="122"/>
      <c r="C200" s="112"/>
      <c r="D200" s="112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</row>
    <row r="201" spans="1:43" s="68" customFormat="1" ht="21">
      <c r="A201" s="72"/>
      <c r="B201" s="122"/>
      <c r="C201" s="112"/>
      <c r="D201" s="11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</row>
    <row r="202" spans="1:43" s="68" customFormat="1" ht="21">
      <c r="A202" s="72"/>
      <c r="B202" s="122"/>
      <c r="C202" s="112"/>
      <c r="D202" s="112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</row>
    <row r="203" spans="1:43" s="68" customFormat="1" ht="21">
      <c r="A203" s="72"/>
      <c r="B203" s="122"/>
      <c r="C203" s="112"/>
      <c r="D203" s="11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</row>
    <row r="204" spans="1:43" s="68" customFormat="1" ht="21">
      <c r="A204" s="72"/>
      <c r="B204" s="122"/>
      <c r="C204" s="112"/>
      <c r="D204" s="112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</row>
    <row r="205" spans="1:43" s="68" customFormat="1" ht="21">
      <c r="A205" s="72"/>
      <c r="B205" s="122"/>
      <c r="C205" s="112"/>
      <c r="D205" s="11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</row>
    <row r="206" spans="1:43" s="68" customFormat="1" ht="21">
      <c r="A206" s="72"/>
      <c r="B206" s="122"/>
      <c r="C206" s="112"/>
      <c r="D206" s="112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</row>
    <row r="207" spans="1:43" s="68" customFormat="1" ht="21">
      <c r="A207" s="72"/>
      <c r="B207" s="122"/>
      <c r="C207" s="112"/>
      <c r="D207" s="11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</row>
    <row r="208" spans="1:43" s="68" customFormat="1" ht="21">
      <c r="A208" s="72"/>
      <c r="B208" s="122"/>
      <c r="C208" s="112"/>
      <c r="D208" s="112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</row>
    <row r="209" spans="1:43" s="68" customFormat="1" ht="21">
      <c r="A209" s="72"/>
      <c r="B209" s="122"/>
      <c r="C209" s="112"/>
      <c r="D209" s="11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</row>
    <row r="210" spans="1:43" s="68" customFormat="1" ht="21">
      <c r="A210" s="72"/>
      <c r="B210" s="122"/>
      <c r="C210" s="112"/>
      <c r="D210" s="112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</row>
    <row r="211" spans="1:43" s="68" customFormat="1" ht="21">
      <c r="A211" s="72"/>
      <c r="B211" s="122"/>
      <c r="C211" s="112"/>
      <c r="D211" s="11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</row>
    <row r="212" spans="1:43" s="68" customFormat="1" ht="21">
      <c r="A212" s="72"/>
      <c r="B212" s="122"/>
      <c r="C212" s="112"/>
      <c r="D212" s="112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</row>
    <row r="213" spans="1:43" s="68" customFormat="1" ht="21">
      <c r="A213" s="72"/>
      <c r="B213" s="122"/>
      <c r="C213" s="112"/>
      <c r="D213" s="11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</row>
    <row r="214" spans="1:43" s="68" customFormat="1" ht="21">
      <c r="A214" s="72"/>
      <c r="B214" s="122"/>
      <c r="C214" s="112"/>
      <c r="D214" s="112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</row>
    <row r="215" spans="1:43" s="68" customFormat="1" ht="21">
      <c r="A215" s="72"/>
      <c r="B215" s="122"/>
      <c r="C215" s="112"/>
      <c r="D215" s="11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</row>
    <row r="216" spans="1:43" s="68" customFormat="1" ht="21">
      <c r="A216" s="72"/>
      <c r="B216" s="122"/>
      <c r="C216" s="112"/>
      <c r="D216" s="112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</row>
    <row r="217" spans="1:43" s="68" customFormat="1" ht="21">
      <c r="A217" s="72"/>
      <c r="B217" s="122"/>
      <c r="C217" s="112"/>
      <c r="D217" s="11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</row>
    <row r="218" spans="1:43" s="68" customFormat="1" ht="21">
      <c r="A218" s="72"/>
      <c r="B218" s="122"/>
      <c r="C218" s="112"/>
      <c r="D218" s="112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</row>
    <row r="219" spans="1:43" s="68" customFormat="1" ht="21">
      <c r="A219" s="72"/>
      <c r="B219" s="122"/>
      <c r="C219" s="112"/>
      <c r="D219" s="11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</row>
    <row r="220" spans="1:43" s="68" customFormat="1" ht="21">
      <c r="A220" s="72"/>
      <c r="B220" s="122"/>
      <c r="C220" s="112"/>
      <c r="D220" s="112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</row>
    <row r="221" spans="1:43" s="68" customFormat="1" ht="21">
      <c r="A221" s="72"/>
      <c r="B221" s="122"/>
      <c r="C221" s="112"/>
      <c r="D221" s="112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</row>
    <row r="222" spans="1:43" s="68" customFormat="1" ht="21">
      <c r="A222" s="72"/>
      <c r="B222" s="122"/>
      <c r="C222" s="112"/>
      <c r="D222" s="112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</row>
    <row r="223" spans="1:43" s="68" customFormat="1" ht="21">
      <c r="A223" s="72"/>
      <c r="B223" s="122"/>
      <c r="C223" s="112"/>
      <c r="D223" s="11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</row>
    <row r="224" spans="1:43" s="68" customFormat="1" ht="21">
      <c r="A224" s="72"/>
      <c r="B224" s="122"/>
      <c r="C224" s="112"/>
      <c r="D224" s="112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</row>
    <row r="225" spans="1:43" s="68" customFormat="1" ht="21">
      <c r="A225" s="72"/>
      <c r="B225" s="122"/>
      <c r="C225" s="112"/>
      <c r="D225" s="11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</row>
    <row r="226" spans="1:43" s="68" customFormat="1" ht="21">
      <c r="A226" s="72"/>
      <c r="B226" s="122"/>
      <c r="C226" s="112"/>
      <c r="D226" s="112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</row>
    <row r="227" spans="1:43" s="68" customFormat="1" ht="21">
      <c r="A227" s="72"/>
      <c r="B227" s="122"/>
      <c r="C227" s="112"/>
      <c r="D227" s="11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</row>
    <row r="228" spans="1:43" s="68" customFormat="1" ht="21">
      <c r="A228" s="72"/>
      <c r="B228" s="122"/>
      <c r="C228" s="112"/>
      <c r="D228" s="112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</row>
    <row r="229" spans="1:43" s="68" customFormat="1" ht="21">
      <c r="A229" s="72"/>
      <c r="B229" s="122"/>
      <c r="C229" s="112"/>
      <c r="D229" s="11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</row>
  </sheetData>
  <sheetProtection/>
  <mergeCells count="9">
    <mergeCell ref="B96:C96"/>
    <mergeCell ref="B98:C98"/>
    <mergeCell ref="B99:C99"/>
    <mergeCell ref="A3:D3"/>
    <mergeCell ref="A1:D1"/>
    <mergeCell ref="A2:D2"/>
    <mergeCell ref="A5:A7"/>
    <mergeCell ref="C5:D5"/>
    <mergeCell ref="C6:D6"/>
  </mergeCells>
  <printOptions/>
  <pageMargins left="0.91" right="1.15" top="0.45" bottom="0.54" header="0.36" footer="0.43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74"/>
  <sheetViews>
    <sheetView zoomScalePageLayoutView="0" workbookViewId="0" topLeftCell="A1">
      <selection activeCell="G7" sqref="G7"/>
    </sheetView>
  </sheetViews>
  <sheetFormatPr defaultColWidth="9.00390625" defaultRowHeight="22.5" customHeight="1"/>
  <cols>
    <col min="1" max="1" width="41.28125" style="76" customWidth="1"/>
    <col min="2" max="2" width="15.57421875" style="76" customWidth="1"/>
    <col min="3" max="3" width="16.421875" style="76" customWidth="1"/>
    <col min="4" max="4" width="6.7109375" style="76" customWidth="1"/>
    <col min="5" max="5" width="19.7109375" style="76" customWidth="1"/>
    <col min="6" max="6" width="15.57421875" style="76" customWidth="1"/>
    <col min="7" max="7" width="16.28125" style="76" customWidth="1"/>
    <col min="8" max="9" width="13.8515625" style="76" bestFit="1" customWidth="1"/>
    <col min="10" max="41" width="9.140625" style="76" customWidth="1"/>
    <col min="42" max="16384" width="9.00390625" style="77" customWidth="1"/>
  </cols>
  <sheetData>
    <row r="1" spans="1:5" ht="18.75" customHeight="1">
      <c r="A1" s="338" t="s">
        <v>170</v>
      </c>
      <c r="B1" s="338"/>
      <c r="C1" s="338"/>
      <c r="D1" s="338"/>
      <c r="E1" s="338"/>
    </row>
    <row r="2" spans="1:5" ht="18.75" customHeight="1">
      <c r="A2" s="338" t="s">
        <v>303</v>
      </c>
      <c r="B2" s="338"/>
      <c r="C2" s="338"/>
      <c r="D2" s="338"/>
      <c r="E2" s="338"/>
    </row>
    <row r="3" spans="1:5" ht="18.75" customHeight="1">
      <c r="A3" s="339" t="s">
        <v>304</v>
      </c>
      <c r="B3" s="339"/>
      <c r="C3" s="339"/>
      <c r="D3" s="339"/>
      <c r="E3" s="339"/>
    </row>
    <row r="4" spans="1:5" ht="18.75" customHeight="1">
      <c r="A4" s="340" t="s">
        <v>171</v>
      </c>
      <c r="B4" s="342" t="s">
        <v>172</v>
      </c>
      <c r="C4" s="344" t="s">
        <v>173</v>
      </c>
      <c r="D4" s="227" t="s">
        <v>174</v>
      </c>
      <c r="E4" s="344" t="s">
        <v>175</v>
      </c>
    </row>
    <row r="5" spans="1:5" ht="18.75" customHeight="1">
      <c r="A5" s="341"/>
      <c r="B5" s="343"/>
      <c r="C5" s="345"/>
      <c r="D5" s="227" t="s">
        <v>176</v>
      </c>
      <c r="E5" s="345"/>
    </row>
    <row r="6" spans="1:5" ht="18.75" customHeight="1">
      <c r="A6" s="228" t="s">
        <v>177</v>
      </c>
      <c r="B6" s="229"/>
      <c r="C6" s="229"/>
      <c r="D6" s="229"/>
      <c r="E6" s="230"/>
    </row>
    <row r="7" spans="1:5" ht="18.75" customHeight="1">
      <c r="A7" s="231" t="s">
        <v>178</v>
      </c>
      <c r="B7" s="232">
        <f>94500+9350000</f>
        <v>9444500</v>
      </c>
      <c r="C7" s="232">
        <f>กระดาษทำการ!G70+กระดาษทำการ!G71+กระดาษทำการ!G72+กระดาษทำการ!G74+กระดาษทำการ!G75+กระดาษทำการ!G77+กระดาษทำการ!G78+กระดาษทำการ!G79+กระดาษทำการ!G81+กระดาษทำการ!G80</f>
        <v>12194336.479999999</v>
      </c>
      <c r="D7" s="233" t="s">
        <v>176</v>
      </c>
      <c r="E7" s="234">
        <f aca="true" t="shared" si="0" ref="E7:E14">C7-B7</f>
        <v>2749836.4799999986</v>
      </c>
    </row>
    <row r="8" spans="1:5" ht="18.75" customHeight="1">
      <c r="A8" s="231" t="s">
        <v>179</v>
      </c>
      <c r="B8" s="235">
        <v>50000</v>
      </c>
      <c r="C8" s="235">
        <f>กระดาษทำการ!G82+กระดาษทำการ!G88+กระดาษทำการ!G89+กระดาษทำการ!G83</f>
        <v>756435</v>
      </c>
      <c r="D8" s="235" t="s">
        <v>174</v>
      </c>
      <c r="E8" s="234">
        <f t="shared" si="0"/>
        <v>706435</v>
      </c>
    </row>
    <row r="9" spans="1:5" ht="18.75" customHeight="1">
      <c r="A9" s="231" t="s">
        <v>180</v>
      </c>
      <c r="B9" s="232">
        <v>60000</v>
      </c>
      <c r="C9" s="232">
        <f>กระดาษทำการ!G84+กระดาษทำการ!G73</f>
        <v>82049.43</v>
      </c>
      <c r="D9" s="235" t="s">
        <v>174</v>
      </c>
      <c r="E9" s="234">
        <f t="shared" si="0"/>
        <v>22049.429999999993</v>
      </c>
    </row>
    <row r="10" spans="1:5" ht="18.75" customHeight="1">
      <c r="A10" s="231" t="s">
        <v>181</v>
      </c>
      <c r="B10" s="235">
        <v>130000</v>
      </c>
      <c r="C10" s="232">
        <f>กระดาษทำการ!G76</f>
        <v>161190</v>
      </c>
      <c r="D10" s="235" t="s">
        <v>174</v>
      </c>
      <c r="E10" s="234">
        <f t="shared" si="0"/>
        <v>31190</v>
      </c>
    </row>
    <row r="11" spans="1:5" ht="18.75" customHeight="1">
      <c r="A11" s="231" t="s">
        <v>182</v>
      </c>
      <c r="B11" s="235">
        <v>122000</v>
      </c>
      <c r="C11" s="232">
        <f>กระดาษทำการ!G86+กระดาษทำการ!G85</f>
        <v>70891</v>
      </c>
      <c r="D11" s="233" t="s">
        <v>176</v>
      </c>
      <c r="E11" s="234">
        <f t="shared" si="0"/>
        <v>-51109</v>
      </c>
    </row>
    <row r="12" spans="1:5" ht="18.75" customHeight="1">
      <c r="A12" s="231" t="s">
        <v>183</v>
      </c>
      <c r="B12" s="232"/>
      <c r="C12" s="232"/>
      <c r="D12" s="233"/>
      <c r="E12" s="232">
        <f t="shared" si="0"/>
        <v>0</v>
      </c>
    </row>
    <row r="13" spans="1:7" ht="18.75" customHeight="1">
      <c r="A13" s="231" t="s">
        <v>184</v>
      </c>
      <c r="B13" s="232">
        <v>13816769</v>
      </c>
      <c r="C13" s="232">
        <f>กระดาษทำการ!G87</f>
        <v>10264971</v>
      </c>
      <c r="D13" s="235" t="s">
        <v>174</v>
      </c>
      <c r="E13" s="234">
        <f t="shared" si="0"/>
        <v>-3551798</v>
      </c>
      <c r="G13" s="281"/>
    </row>
    <row r="14" spans="1:5" ht="18.75" customHeight="1">
      <c r="A14" s="236" t="s">
        <v>185</v>
      </c>
      <c r="B14" s="237">
        <f>SUM(B7:B13)</f>
        <v>23623269</v>
      </c>
      <c r="C14" s="237">
        <f>SUM(C7:C13)</f>
        <v>23529872.909999996</v>
      </c>
      <c r="D14" s="238" t="s">
        <v>174</v>
      </c>
      <c r="E14" s="237">
        <f t="shared" si="0"/>
        <v>-93396.09000000358</v>
      </c>
    </row>
    <row r="15" spans="1:5" ht="18.75" customHeight="1">
      <c r="A15" s="239" t="s">
        <v>186</v>
      </c>
      <c r="B15" s="232">
        <v>0</v>
      </c>
      <c r="C15" s="232">
        <v>0</v>
      </c>
      <c r="D15" s="235" t="s">
        <v>176</v>
      </c>
      <c r="E15" s="228">
        <f>B15-C15</f>
        <v>0</v>
      </c>
    </row>
    <row r="16" spans="1:5" ht="18.75" customHeight="1" thickBot="1">
      <c r="A16" s="239"/>
      <c r="B16" s="240">
        <f>B14+B15</f>
        <v>23623269</v>
      </c>
      <c r="C16" s="240">
        <f>C14+C15</f>
        <v>23529872.909999996</v>
      </c>
      <c r="D16" s="241"/>
      <c r="E16" s="240">
        <f>C16-B16</f>
        <v>-93396.09000000358</v>
      </c>
    </row>
    <row r="17" spans="1:5" ht="18.75" customHeight="1" thickTop="1">
      <c r="A17" s="228" t="s">
        <v>187</v>
      </c>
      <c r="B17" s="232"/>
      <c r="C17" s="232"/>
      <c r="D17" s="232"/>
      <c r="E17" s="232"/>
    </row>
    <row r="18" spans="1:5" ht="18.75" customHeight="1">
      <c r="A18" s="232" t="s">
        <v>188</v>
      </c>
      <c r="B18" s="232"/>
      <c r="C18" s="232"/>
      <c r="D18" s="232"/>
      <c r="E18" s="232"/>
    </row>
    <row r="19" spans="1:6" ht="18.75" customHeight="1">
      <c r="A19" s="231" t="s">
        <v>189</v>
      </c>
      <c r="B19" s="232">
        <v>2349865</v>
      </c>
      <c r="C19" s="232">
        <f>กระดาษทำการ!H16</f>
        <v>1821731</v>
      </c>
      <c r="D19" s="233" t="str">
        <f aca="true" t="shared" si="1" ref="D19:D26">IF(C19&gt;B19,"+","-")</f>
        <v>-</v>
      </c>
      <c r="E19" s="234">
        <f>B19-C19</f>
        <v>528134</v>
      </c>
      <c r="F19" s="76">
        <v>0</v>
      </c>
    </row>
    <row r="20" spans="1:7" ht="18.75" customHeight="1">
      <c r="A20" s="231" t="s">
        <v>190</v>
      </c>
      <c r="B20" s="68">
        <f>6083280</f>
        <v>6083280</v>
      </c>
      <c r="C20" s="232">
        <f>กระดาษทำการ!H17+กระดาษทำการ!H18</f>
        <v>5837792</v>
      </c>
      <c r="D20" s="233" t="str">
        <f t="shared" si="1"/>
        <v>-</v>
      </c>
      <c r="E20" s="234">
        <f aca="true" t="shared" si="2" ref="E20:E25">B20-C20</f>
        <v>245488</v>
      </c>
      <c r="G20" s="57"/>
    </row>
    <row r="21" spans="1:7" ht="18.75" customHeight="1">
      <c r="A21" s="231" t="s">
        <v>191</v>
      </c>
      <c r="B21" s="232">
        <v>1602960</v>
      </c>
      <c r="C21" s="232">
        <f>กระดาษทำการ!H19</f>
        <v>1628880</v>
      </c>
      <c r="D21" s="233" t="str">
        <f t="shared" si="1"/>
        <v>+</v>
      </c>
      <c r="E21" s="234">
        <f t="shared" si="2"/>
        <v>-25920</v>
      </c>
      <c r="G21" s="57"/>
    </row>
    <row r="22" spans="1:7" ht="18.75" customHeight="1">
      <c r="A22" s="231" t="s">
        <v>192</v>
      </c>
      <c r="B22" s="232">
        <f>1177390+3485074+3183480</f>
        <v>7845944</v>
      </c>
      <c r="C22" s="232">
        <f>กระดาษทำการ!H20+กระดาษทำการ!H21+กระดาษทำการ!H22</f>
        <v>6456339.43</v>
      </c>
      <c r="D22" s="233" t="str">
        <f t="shared" si="1"/>
        <v>-</v>
      </c>
      <c r="E22" s="234">
        <f t="shared" si="2"/>
        <v>1389604.5700000003</v>
      </c>
      <c r="F22" s="76">
        <f>18537607.98-C26</f>
        <v>0</v>
      </c>
      <c r="G22" s="287"/>
    </row>
    <row r="23" spans="1:7" ht="18.75" customHeight="1">
      <c r="A23" s="231" t="s">
        <v>193</v>
      </c>
      <c r="B23" s="232">
        <v>168000</v>
      </c>
      <c r="C23" s="232">
        <f>กระดาษทำการ!H23</f>
        <v>144748.55000000002</v>
      </c>
      <c r="D23" s="233" t="str">
        <f t="shared" si="1"/>
        <v>-</v>
      </c>
      <c r="E23" s="234">
        <f t="shared" si="2"/>
        <v>23251.449999999983</v>
      </c>
      <c r="G23" s="81"/>
    </row>
    <row r="24" spans="1:5" ht="18.75" customHeight="1">
      <c r="A24" s="231" t="s">
        <v>194</v>
      </c>
      <c r="B24" s="235">
        <v>3158000</v>
      </c>
      <c r="C24" s="232">
        <f>กระดาษทำการ!H24</f>
        <v>2537000</v>
      </c>
      <c r="D24" s="242" t="str">
        <f t="shared" si="1"/>
        <v>-</v>
      </c>
      <c r="E24" s="234">
        <f t="shared" si="2"/>
        <v>621000</v>
      </c>
    </row>
    <row r="25" spans="1:5" ht="18.75" customHeight="1">
      <c r="A25" s="231" t="s">
        <v>195</v>
      </c>
      <c r="B25" s="235">
        <v>1173420</v>
      </c>
      <c r="C25" s="235">
        <f>กระดาษทำการ!H27</f>
        <v>111117</v>
      </c>
      <c r="D25" s="233" t="str">
        <f t="shared" si="1"/>
        <v>-</v>
      </c>
      <c r="E25" s="234">
        <f t="shared" si="2"/>
        <v>1062303</v>
      </c>
    </row>
    <row r="26" spans="1:11" ht="18.75" customHeight="1">
      <c r="A26" s="243" t="s">
        <v>196</v>
      </c>
      <c r="B26" s="237">
        <f>SUM(B19:B25)</f>
        <v>22381469</v>
      </c>
      <c r="C26" s="237">
        <f>SUM(C19:C25)</f>
        <v>18537607.98</v>
      </c>
      <c r="D26" s="244" t="str">
        <f t="shared" si="1"/>
        <v>-</v>
      </c>
      <c r="E26" s="245">
        <f>C26-B26</f>
        <v>-3843861.0199999996</v>
      </c>
      <c r="F26" s="78"/>
      <c r="G26" s="78"/>
      <c r="H26" s="79"/>
      <c r="I26" s="80"/>
      <c r="J26" s="81"/>
      <c r="K26" s="81"/>
    </row>
    <row r="27" spans="1:11" ht="18.75" customHeight="1">
      <c r="A27" s="239" t="s">
        <v>197</v>
      </c>
      <c r="B27" s="232">
        <v>0</v>
      </c>
      <c r="C27" s="232">
        <v>0</v>
      </c>
      <c r="D27" s="233" t="s">
        <v>176</v>
      </c>
      <c r="E27" s="246">
        <f>B27-C27</f>
        <v>0</v>
      </c>
      <c r="F27" s="81"/>
      <c r="G27" s="81"/>
      <c r="H27" s="81"/>
      <c r="I27" s="81"/>
      <c r="J27" s="81"/>
      <c r="K27" s="81"/>
    </row>
    <row r="28" spans="1:11" ht="18.75" customHeight="1" thickBot="1">
      <c r="A28" s="239"/>
      <c r="B28" s="240">
        <f>SUM(B26:B27)</f>
        <v>22381469</v>
      </c>
      <c r="C28" s="240">
        <f>C26+C27</f>
        <v>18537607.98</v>
      </c>
      <c r="D28" s="247"/>
      <c r="E28" s="248">
        <f>B28-C28</f>
        <v>3843861.0199999996</v>
      </c>
      <c r="F28" s="81"/>
      <c r="G28" s="81"/>
      <c r="H28" s="81"/>
      <c r="I28" s="81"/>
      <c r="J28" s="81"/>
      <c r="K28" s="81"/>
    </row>
    <row r="29" spans="1:11" ht="18.75" customHeight="1" thickTop="1">
      <c r="A29" s="228" t="s">
        <v>198</v>
      </c>
      <c r="B29" s="232"/>
      <c r="C29" s="232"/>
      <c r="D29" s="233"/>
      <c r="E29" s="234"/>
      <c r="F29" s="81"/>
      <c r="G29" s="78"/>
      <c r="H29" s="81"/>
      <c r="I29" s="81"/>
      <c r="J29" s="81"/>
      <c r="K29" s="81"/>
    </row>
    <row r="30" spans="1:11" ht="18.75" customHeight="1">
      <c r="A30" s="232" t="s">
        <v>259</v>
      </c>
      <c r="B30" s="235">
        <v>150800</v>
      </c>
      <c r="C30" s="235">
        <f>กระดาษทำการ!H25</f>
        <v>141096</v>
      </c>
      <c r="D30" s="233" t="str">
        <f>IF(C30&gt;B30,"+","-")</f>
        <v>-</v>
      </c>
      <c r="E30" s="234">
        <f aca="true" t="shared" si="3" ref="E30:E35">B30-C30</f>
        <v>9704</v>
      </c>
      <c r="F30" s="81"/>
      <c r="G30" s="81"/>
      <c r="H30" s="81"/>
      <c r="I30" s="81"/>
      <c r="J30" s="81"/>
      <c r="K30" s="81"/>
    </row>
    <row r="31" spans="1:11" ht="18.75" customHeight="1">
      <c r="A31" s="232" t="s">
        <v>260</v>
      </c>
      <c r="B31" s="235">
        <v>1091000</v>
      </c>
      <c r="C31" s="235">
        <f>กระดาษทำการ!H26</f>
        <v>95000</v>
      </c>
      <c r="D31" s="233"/>
      <c r="E31" s="249">
        <f t="shared" si="3"/>
        <v>996000</v>
      </c>
      <c r="F31" s="81"/>
      <c r="G31" s="81"/>
      <c r="H31" s="81"/>
      <c r="I31" s="81"/>
      <c r="J31" s="81"/>
      <c r="K31" s="81"/>
    </row>
    <row r="32" spans="1:11" ht="18.75" customHeight="1">
      <c r="A32" s="237" t="s">
        <v>198</v>
      </c>
      <c r="B32" s="238">
        <f>B30+B31</f>
        <v>1241800</v>
      </c>
      <c r="C32" s="236">
        <f>C30+C31</f>
        <v>236096</v>
      </c>
      <c r="D32" s="250"/>
      <c r="E32" s="249">
        <f t="shared" si="3"/>
        <v>1005704</v>
      </c>
      <c r="F32" s="81"/>
      <c r="G32" s="81"/>
      <c r="H32" s="81"/>
      <c r="I32" s="81"/>
      <c r="J32" s="81"/>
      <c r="K32" s="81"/>
    </row>
    <row r="33" spans="1:41" s="83" customFormat="1" ht="18.75" customHeight="1">
      <c r="A33" s="239" t="s">
        <v>197</v>
      </c>
      <c r="B33" s="238"/>
      <c r="C33" s="238"/>
      <c r="D33" s="250"/>
      <c r="E33" s="251">
        <f t="shared" si="3"/>
        <v>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</row>
    <row r="34" spans="1:6" ht="18.75" customHeight="1" thickBot="1">
      <c r="A34" s="228"/>
      <c r="B34" s="236">
        <f>B27+B31</f>
        <v>1091000</v>
      </c>
      <c r="C34" s="236">
        <f>C32+C33</f>
        <v>236096</v>
      </c>
      <c r="D34" s="244"/>
      <c r="E34" s="245">
        <f t="shared" si="3"/>
        <v>854904</v>
      </c>
      <c r="F34" s="84"/>
    </row>
    <row r="35" spans="1:6" ht="18.75" customHeight="1" thickBot="1">
      <c r="A35" s="252" t="s">
        <v>199</v>
      </c>
      <c r="B35" s="252">
        <f>B28+B32</f>
        <v>23623269</v>
      </c>
      <c r="C35" s="252">
        <f>C28+C34</f>
        <v>18773703.98</v>
      </c>
      <c r="D35" s="253" t="str">
        <f>IF(C35&gt;B35,"+","-")</f>
        <v>-</v>
      </c>
      <c r="E35" s="254">
        <f t="shared" si="3"/>
        <v>4849565.02</v>
      </c>
      <c r="F35" s="76">
        <f>B35-B16</f>
        <v>0</v>
      </c>
    </row>
    <row r="36" spans="1:5" ht="18.75" customHeight="1">
      <c r="A36" s="331" t="s">
        <v>200</v>
      </c>
      <c r="B36" s="332"/>
      <c r="C36" s="228">
        <f>C14-C35</f>
        <v>4756168.929999996</v>
      </c>
      <c r="D36" s="255"/>
      <c r="E36" s="255"/>
    </row>
    <row r="37" spans="1:5" ht="18.75" customHeight="1">
      <c r="A37" s="333" t="s">
        <v>309</v>
      </c>
      <c r="B37" s="334"/>
      <c r="C37" s="237">
        <v>0</v>
      </c>
      <c r="D37" s="255"/>
      <c r="E37" s="255"/>
    </row>
    <row r="38" spans="1:41" s="83" customFormat="1" ht="18.75" customHeight="1" thickBot="1">
      <c r="A38" s="333" t="s">
        <v>310</v>
      </c>
      <c r="B38" s="334"/>
      <c r="C38" s="240">
        <f>C36-C37</f>
        <v>4756168.929999996</v>
      </c>
      <c r="D38" s="255"/>
      <c r="E38" s="255"/>
      <c r="F38" s="76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</row>
    <row r="39" spans="1:5" ht="18.75" customHeight="1" thickTop="1">
      <c r="A39" s="335" t="s">
        <v>201</v>
      </c>
      <c r="B39" s="335"/>
      <c r="C39" s="335"/>
      <c r="D39" s="335"/>
      <c r="E39" s="335"/>
    </row>
    <row r="40" spans="1:5" ht="18.75" customHeight="1">
      <c r="A40" s="337"/>
      <c r="B40" s="337"/>
      <c r="C40" s="337"/>
      <c r="D40" s="337"/>
      <c r="E40" s="337"/>
    </row>
    <row r="41" spans="1:5" ht="18.75" customHeight="1">
      <c r="A41" s="337" t="s">
        <v>318</v>
      </c>
      <c r="B41" s="337"/>
      <c r="C41" s="337"/>
      <c r="D41" s="337"/>
      <c r="E41" s="337"/>
    </row>
    <row r="42" spans="1:5" ht="18.75" customHeight="1">
      <c r="A42" s="337" t="s">
        <v>202</v>
      </c>
      <c r="B42" s="337"/>
      <c r="C42" s="337"/>
      <c r="D42" s="337"/>
      <c r="E42" s="337"/>
    </row>
    <row r="43" spans="1:5" ht="18.75" customHeight="1">
      <c r="A43" s="336"/>
      <c r="B43" s="336"/>
      <c r="C43" s="336"/>
      <c r="D43" s="336"/>
      <c r="E43" s="336"/>
    </row>
    <row r="44" spans="1:5" ht="18.75" customHeight="1">
      <c r="A44" s="336"/>
      <c r="B44" s="336"/>
      <c r="C44" s="336"/>
      <c r="D44" s="336"/>
      <c r="E44" s="336"/>
    </row>
    <row r="45" spans="1:5" ht="22.5" customHeight="1">
      <c r="A45" s="81"/>
      <c r="B45" s="81"/>
      <c r="C45" s="81"/>
      <c r="D45" s="81"/>
      <c r="E45" s="81"/>
    </row>
    <row r="46" spans="1:5" ht="22.5" customHeight="1">
      <c r="A46" s="81"/>
      <c r="B46" s="81"/>
      <c r="C46" s="81"/>
      <c r="D46" s="81"/>
      <c r="E46" s="81"/>
    </row>
    <row r="47" spans="1:5" ht="22.5" customHeight="1">
      <c r="A47" s="81"/>
      <c r="B47" s="81"/>
      <c r="C47" s="81"/>
      <c r="D47" s="81"/>
      <c r="E47" s="81"/>
    </row>
    <row r="48" spans="1:5" ht="22.5" customHeight="1">
      <c r="A48" s="81"/>
      <c r="B48" s="81"/>
      <c r="C48" s="81"/>
      <c r="D48" s="81"/>
      <c r="E48" s="81"/>
    </row>
    <row r="49" spans="1:5" ht="22.5" customHeight="1">
      <c r="A49" s="81"/>
      <c r="B49" s="81"/>
      <c r="C49" s="81"/>
      <c r="D49" s="81"/>
      <c r="E49" s="81"/>
    </row>
    <row r="50" spans="1:5" ht="22.5" customHeight="1">
      <c r="A50" s="81"/>
      <c r="B50" s="81"/>
      <c r="C50" s="81"/>
      <c r="D50" s="81"/>
      <c r="E50" s="81"/>
    </row>
    <row r="51" spans="1:5" ht="22.5" customHeight="1">
      <c r="A51" s="81"/>
      <c r="B51" s="81"/>
      <c r="C51" s="81"/>
      <c r="D51" s="81"/>
      <c r="E51" s="81"/>
    </row>
    <row r="52" spans="1:5" ht="22.5" customHeight="1">
      <c r="A52" s="81"/>
      <c r="B52" s="81"/>
      <c r="C52" s="81"/>
      <c r="D52" s="81"/>
      <c r="E52" s="81"/>
    </row>
    <row r="53" spans="1:5" ht="22.5" customHeight="1">
      <c r="A53" s="81"/>
      <c r="B53" s="81"/>
      <c r="C53" s="81"/>
      <c r="D53" s="81"/>
      <c r="E53" s="81"/>
    </row>
    <row r="54" spans="1:5" ht="22.5" customHeight="1">
      <c r="A54" s="81"/>
      <c r="B54" s="81"/>
      <c r="C54" s="81"/>
      <c r="D54" s="81"/>
      <c r="E54" s="81"/>
    </row>
    <row r="55" spans="1:5" ht="22.5" customHeight="1">
      <c r="A55" s="81"/>
      <c r="B55" s="81"/>
      <c r="C55" s="81"/>
      <c r="D55" s="81"/>
      <c r="E55" s="81"/>
    </row>
    <row r="56" spans="1:5" ht="22.5" customHeight="1">
      <c r="A56" s="81"/>
      <c r="B56" s="81"/>
      <c r="C56" s="81"/>
      <c r="D56" s="81"/>
      <c r="E56" s="81"/>
    </row>
    <row r="57" spans="1:5" ht="22.5" customHeight="1">
      <c r="A57" s="81"/>
      <c r="B57" s="81"/>
      <c r="C57" s="81"/>
      <c r="D57" s="81"/>
      <c r="E57" s="81"/>
    </row>
    <row r="58" spans="1:5" ht="22.5" customHeight="1">
      <c r="A58" s="81"/>
      <c r="B58" s="81"/>
      <c r="C58" s="81"/>
      <c r="D58" s="81"/>
      <c r="E58" s="81"/>
    </row>
    <row r="59" spans="1:5" ht="22.5" customHeight="1">
      <c r="A59" s="81"/>
      <c r="B59" s="81"/>
      <c r="C59" s="81"/>
      <c r="D59" s="81"/>
      <c r="E59" s="81"/>
    </row>
    <row r="60" spans="1:5" ht="22.5" customHeight="1">
      <c r="A60" s="81"/>
      <c r="B60" s="81"/>
      <c r="C60" s="81"/>
      <c r="D60" s="81"/>
      <c r="E60" s="81"/>
    </row>
    <row r="61" spans="1:5" ht="22.5" customHeight="1">
      <c r="A61" s="81"/>
      <c r="B61" s="81"/>
      <c r="C61" s="81"/>
      <c r="D61" s="81"/>
      <c r="E61" s="81"/>
    </row>
    <row r="62" spans="1:5" ht="22.5" customHeight="1">
      <c r="A62" s="81"/>
      <c r="B62" s="81"/>
      <c r="C62" s="81"/>
      <c r="D62" s="81"/>
      <c r="E62" s="81"/>
    </row>
    <row r="63" spans="1:5" ht="22.5" customHeight="1">
      <c r="A63" s="81"/>
      <c r="B63" s="81"/>
      <c r="C63" s="81"/>
      <c r="D63" s="81"/>
      <c r="E63" s="81"/>
    </row>
    <row r="64" spans="1:5" ht="22.5" customHeight="1">
      <c r="A64" s="81"/>
      <c r="B64" s="81"/>
      <c r="C64" s="81"/>
      <c r="D64" s="81"/>
      <c r="E64" s="81"/>
    </row>
    <row r="65" spans="1:5" ht="22.5" customHeight="1">
      <c r="A65" s="81"/>
      <c r="B65" s="81"/>
      <c r="C65" s="81"/>
      <c r="D65" s="81"/>
      <c r="E65" s="81"/>
    </row>
    <row r="66" spans="1:5" ht="22.5" customHeight="1">
      <c r="A66" s="81"/>
      <c r="B66" s="81"/>
      <c r="C66" s="81"/>
      <c r="D66" s="81"/>
      <c r="E66" s="81"/>
    </row>
    <row r="67" spans="1:5" ht="22.5" customHeight="1">
      <c r="A67" s="81"/>
      <c r="B67" s="81"/>
      <c r="C67" s="81"/>
      <c r="D67" s="81"/>
      <c r="E67" s="81"/>
    </row>
    <row r="68" spans="1:5" ht="22.5" customHeight="1">
      <c r="A68" s="81"/>
      <c r="B68" s="81"/>
      <c r="C68" s="81"/>
      <c r="D68" s="81"/>
      <c r="E68" s="81"/>
    </row>
    <row r="69" spans="1:5" ht="22.5" customHeight="1">
      <c r="A69" s="81"/>
      <c r="B69" s="81"/>
      <c r="C69" s="81"/>
      <c r="D69" s="81"/>
      <c r="E69" s="81"/>
    </row>
    <row r="70" spans="1:5" ht="22.5" customHeight="1">
      <c r="A70" s="81"/>
      <c r="B70" s="81"/>
      <c r="C70" s="81"/>
      <c r="D70" s="81"/>
      <c r="E70" s="81"/>
    </row>
    <row r="71" spans="1:5" ht="22.5" customHeight="1">
      <c r="A71" s="81"/>
      <c r="B71" s="81"/>
      <c r="C71" s="81"/>
      <c r="D71" s="81"/>
      <c r="E71" s="81"/>
    </row>
    <row r="72" spans="1:5" ht="22.5" customHeight="1">
      <c r="A72" s="81"/>
      <c r="B72" s="81"/>
      <c r="C72" s="81"/>
      <c r="D72" s="81"/>
      <c r="E72" s="81"/>
    </row>
    <row r="73" spans="1:5" ht="22.5" customHeight="1">
      <c r="A73" s="81"/>
      <c r="B73" s="81"/>
      <c r="C73" s="81"/>
      <c r="D73" s="81"/>
      <c r="E73" s="81"/>
    </row>
    <row r="74" spans="1:5" ht="22.5" customHeight="1">
      <c r="A74" s="81"/>
      <c r="B74" s="81"/>
      <c r="C74" s="81"/>
      <c r="D74" s="81"/>
      <c r="E74" s="81"/>
    </row>
  </sheetData>
  <sheetProtection/>
  <mergeCells count="16">
    <mergeCell ref="A1:E1"/>
    <mergeCell ref="A2:E2"/>
    <mergeCell ref="A3:E3"/>
    <mergeCell ref="A4:A5"/>
    <mergeCell ref="B4:B5"/>
    <mergeCell ref="C4:C5"/>
    <mergeCell ref="E4:E5"/>
    <mergeCell ref="A36:B36"/>
    <mergeCell ref="A37:B37"/>
    <mergeCell ref="A38:B38"/>
    <mergeCell ref="A39:E39"/>
    <mergeCell ref="A44:E44"/>
    <mergeCell ref="A40:E40"/>
    <mergeCell ref="A41:E41"/>
    <mergeCell ref="A42:E42"/>
    <mergeCell ref="A43:E43"/>
  </mergeCells>
  <printOptions/>
  <pageMargins left="0.4" right="0.17" top="0.48" bottom="0.15" header="0.14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4"/>
  <sheetViews>
    <sheetView zoomScalePageLayoutView="0" workbookViewId="0" topLeftCell="A19">
      <selection activeCell="D28" sqref="D28"/>
    </sheetView>
  </sheetViews>
  <sheetFormatPr defaultColWidth="9.140625" defaultRowHeight="20.25" customHeight="1"/>
  <cols>
    <col min="1" max="1" width="35.7109375" style="0" customWidth="1"/>
    <col min="2" max="2" width="14.7109375" style="57" customWidth="1"/>
    <col min="3" max="3" width="17.8515625" style="57" customWidth="1"/>
    <col min="4" max="4" width="35.7109375" style="0" customWidth="1"/>
    <col min="5" max="5" width="16.7109375" style="57" customWidth="1"/>
    <col min="6" max="6" width="18.7109375" style="57" customWidth="1"/>
    <col min="7" max="7" width="17.28125" style="0" customWidth="1"/>
    <col min="8" max="8" width="15.57421875" style="0" customWidth="1"/>
  </cols>
  <sheetData>
    <row r="1" spans="1:8" ht="20.25" customHeight="1">
      <c r="A1" s="350" t="s">
        <v>219</v>
      </c>
      <c r="B1" s="350"/>
      <c r="C1" s="350"/>
      <c r="D1" s="350"/>
      <c r="E1" s="350"/>
      <c r="F1" s="350"/>
      <c r="G1" s="125"/>
      <c r="H1" s="125"/>
    </row>
    <row r="2" spans="1:8" ht="20.25" customHeight="1">
      <c r="A2" s="350" t="s">
        <v>204</v>
      </c>
      <c r="B2" s="350"/>
      <c r="C2" s="350"/>
      <c r="D2" s="350"/>
      <c r="E2" s="350"/>
      <c r="F2" s="350"/>
      <c r="G2" s="125"/>
      <c r="H2" s="125"/>
    </row>
    <row r="3" spans="1:8" ht="20.25" customHeight="1">
      <c r="A3" s="351" t="s">
        <v>302</v>
      </c>
      <c r="B3" s="351"/>
      <c r="C3" s="351"/>
      <c r="D3" s="351"/>
      <c r="E3" s="351"/>
      <c r="F3" s="351"/>
      <c r="G3" s="125"/>
      <c r="H3" s="125"/>
    </row>
    <row r="4" spans="1:8" ht="20.25" customHeight="1">
      <c r="A4" s="126" t="s">
        <v>220</v>
      </c>
      <c r="B4" s="127"/>
      <c r="C4" s="128"/>
      <c r="D4" s="126" t="s">
        <v>221</v>
      </c>
      <c r="E4" s="129"/>
      <c r="F4" s="127"/>
      <c r="G4" s="125"/>
      <c r="H4" s="125"/>
    </row>
    <row r="5" spans="1:8" ht="20.25" customHeight="1" thickBot="1">
      <c r="A5" s="130" t="s">
        <v>222</v>
      </c>
      <c r="B5" s="131"/>
      <c r="C5" s="132">
        <f>งบทรัพย์สิน!I14</f>
        <v>6961707</v>
      </c>
      <c r="D5" s="130" t="s">
        <v>223</v>
      </c>
      <c r="E5" s="131"/>
      <c r="F5" s="133">
        <f>C5</f>
        <v>6961707</v>
      </c>
      <c r="G5" s="125"/>
      <c r="H5" s="125"/>
    </row>
    <row r="6" spans="1:8" ht="20.25" customHeight="1" thickTop="1">
      <c r="A6" s="130" t="s">
        <v>224</v>
      </c>
      <c r="B6" s="131"/>
      <c r="C6" s="134"/>
      <c r="D6" s="130" t="s">
        <v>225</v>
      </c>
      <c r="E6" s="131"/>
      <c r="F6" s="131"/>
      <c r="G6" s="125"/>
      <c r="H6" s="125"/>
    </row>
    <row r="7" spans="1:8" ht="20.25" customHeight="1">
      <c r="A7" s="130" t="s">
        <v>226</v>
      </c>
      <c r="B7" s="131">
        <f>กระดาษทำการ!I7</f>
        <v>0</v>
      </c>
      <c r="C7" s="134"/>
      <c r="D7" s="301" t="s">
        <v>41</v>
      </c>
      <c r="E7" s="131"/>
      <c r="F7" s="131">
        <f>กระดาษทำการ!J28</f>
        <v>799007</v>
      </c>
      <c r="G7" s="125"/>
      <c r="H7" s="125"/>
    </row>
    <row r="8" spans="1:8" ht="20.25" customHeight="1">
      <c r="A8" s="130" t="s">
        <v>227</v>
      </c>
      <c r="B8" s="131">
        <f>กระดาษทำการ!I8</f>
        <v>0</v>
      </c>
      <c r="C8" s="134"/>
      <c r="D8" s="301" t="s">
        <v>146</v>
      </c>
      <c r="E8" s="131"/>
      <c r="F8" s="131">
        <f>กระดาษทำการ!J30</f>
        <v>2483548.6224999987</v>
      </c>
      <c r="G8" s="125"/>
      <c r="H8" s="125"/>
    </row>
    <row r="9" spans="1:8" ht="20.25" customHeight="1">
      <c r="A9" s="130" t="s">
        <v>228</v>
      </c>
      <c r="B9" s="131">
        <f>กระดาษทำการ!I9</f>
        <v>571553.6</v>
      </c>
      <c r="C9" s="131"/>
      <c r="D9" s="302" t="s">
        <v>35</v>
      </c>
      <c r="E9" s="131"/>
      <c r="F9" s="131">
        <f>กระดาษทำการ!J33</f>
        <v>0</v>
      </c>
      <c r="G9" s="125"/>
      <c r="H9" s="125"/>
    </row>
    <row r="10" spans="1:8" ht="20.25" customHeight="1">
      <c r="A10" s="130" t="s">
        <v>229</v>
      </c>
      <c r="B10" s="131">
        <f>กระดาษทำการ!I11</f>
        <v>10051985.700000001</v>
      </c>
      <c r="C10" s="134"/>
      <c r="D10" s="301" t="s">
        <v>147</v>
      </c>
      <c r="E10" s="135"/>
      <c r="F10" s="131">
        <f>กระดาษทำการ!J36</f>
        <v>9333.099999999995</v>
      </c>
      <c r="G10" s="125"/>
      <c r="H10" s="125"/>
    </row>
    <row r="11" spans="1:8" ht="20.25" customHeight="1">
      <c r="A11" s="130" t="s">
        <v>230</v>
      </c>
      <c r="B11" s="131">
        <f>กระดาษทำการ!I12</f>
        <v>1229929.48</v>
      </c>
      <c r="C11" s="134"/>
      <c r="D11" s="301" t="s">
        <v>148</v>
      </c>
      <c r="E11" s="131"/>
      <c r="F11" s="131">
        <f>กระดาษทำการ!J37</f>
        <v>449792.5</v>
      </c>
      <c r="G11" s="125"/>
      <c r="H11" s="125"/>
    </row>
    <row r="12" spans="1:8" ht="20.25" customHeight="1" thickBot="1">
      <c r="A12" s="130" t="s">
        <v>231</v>
      </c>
      <c r="B12" s="131">
        <f>กระดาษทำการ!I13</f>
        <v>1623.97</v>
      </c>
      <c r="C12" s="136">
        <f>SUM(B8:B12)</f>
        <v>11855092.750000002</v>
      </c>
      <c r="D12" s="301" t="s">
        <v>149</v>
      </c>
      <c r="E12" s="131"/>
      <c r="F12" s="131">
        <f>กระดาษทำการ!J50</f>
        <v>1213554</v>
      </c>
      <c r="G12" s="125"/>
      <c r="H12" s="137"/>
    </row>
    <row r="13" spans="1:8" ht="20.25" customHeight="1">
      <c r="A13" s="130" t="s">
        <v>232</v>
      </c>
      <c r="B13" s="131"/>
      <c r="C13" s="134">
        <f>กระดาษทำการ!I15</f>
        <v>0</v>
      </c>
      <c r="D13" s="301" t="s">
        <v>150</v>
      </c>
      <c r="E13" s="131"/>
      <c r="F13" s="131">
        <f>กระดาษทำการ!J51</f>
        <v>16375.48</v>
      </c>
      <c r="G13" s="125"/>
      <c r="H13" s="125"/>
    </row>
    <row r="14" spans="1:8" ht="20.25" customHeight="1">
      <c r="A14" s="301" t="s">
        <v>233</v>
      </c>
      <c r="B14" s="138"/>
      <c r="C14" s="134">
        <f>กระดาษทำการ!I14</f>
        <v>30000</v>
      </c>
      <c r="D14" s="299" t="s">
        <v>317</v>
      </c>
      <c r="E14" s="131"/>
      <c r="F14" s="131">
        <f>กระดาษทำการ!J41</f>
        <v>412100</v>
      </c>
      <c r="G14" s="125"/>
      <c r="H14" s="125"/>
    </row>
    <row r="15" spans="1:8" ht="20.25" customHeight="1">
      <c r="A15" s="299" t="s">
        <v>151</v>
      </c>
      <c r="B15" s="138"/>
      <c r="C15" s="134">
        <f>กระดาษทำการ!I63</f>
        <v>0</v>
      </c>
      <c r="D15" s="130" t="s">
        <v>313</v>
      </c>
      <c r="E15" s="131"/>
      <c r="F15" s="131">
        <f>กระดาษทำการ!J63</f>
        <v>2256</v>
      </c>
      <c r="G15" s="125"/>
      <c r="H15" s="125"/>
    </row>
    <row r="16" spans="1:9" ht="20.25" customHeight="1">
      <c r="A16" s="301" t="s">
        <v>53</v>
      </c>
      <c r="B16" s="138"/>
      <c r="C16" s="134">
        <f>กระดาษทำการ!I31</f>
        <v>0</v>
      </c>
      <c r="D16" s="299" t="s">
        <v>261</v>
      </c>
      <c r="E16" s="131"/>
      <c r="F16" s="131">
        <f>กระดาษทำการ!J64</f>
        <v>111797</v>
      </c>
      <c r="G16" s="125"/>
      <c r="H16" s="288"/>
      <c r="I16" s="142"/>
    </row>
    <row r="17" spans="1:9" ht="20.25" customHeight="1">
      <c r="A17" s="300" t="s">
        <v>263</v>
      </c>
      <c r="B17" s="131"/>
      <c r="C17" s="134">
        <f>'ก.ย.'!M34</f>
        <v>0</v>
      </c>
      <c r="D17" s="299" t="s">
        <v>315</v>
      </c>
      <c r="E17" s="131"/>
      <c r="F17" s="131">
        <f>กระดาษทำการ!J65</f>
        <v>38500</v>
      </c>
      <c r="G17" s="125"/>
      <c r="H17" s="289"/>
      <c r="I17" s="142"/>
    </row>
    <row r="18" spans="1:9" ht="20.25" customHeight="1">
      <c r="A18" s="300" t="s">
        <v>262</v>
      </c>
      <c r="B18" s="131"/>
      <c r="C18" s="134">
        <f>กระดาษทำการ!I36</f>
        <v>0</v>
      </c>
      <c r="D18" s="299" t="s">
        <v>316</v>
      </c>
      <c r="E18" s="131"/>
      <c r="F18" s="131">
        <f>กระดาษทำการ!J66</f>
        <v>13000</v>
      </c>
      <c r="G18" s="125"/>
      <c r="H18" s="259"/>
      <c r="I18" s="142"/>
    </row>
    <row r="19" spans="1:9" ht="20.25" customHeight="1">
      <c r="A19" s="224"/>
      <c r="B19" s="131"/>
      <c r="C19" s="134"/>
      <c r="D19" s="299" t="s">
        <v>312</v>
      </c>
      <c r="E19" s="131"/>
      <c r="F19" s="131">
        <f>กระดาษทำการ!J91</f>
        <v>40000</v>
      </c>
      <c r="G19" s="125"/>
      <c r="H19" s="259"/>
      <c r="I19" s="142"/>
    </row>
    <row r="20" spans="1:9" ht="20.25" customHeight="1">
      <c r="A20" s="224"/>
      <c r="B20" s="131"/>
      <c r="C20" s="134"/>
      <c r="D20" s="299" t="s">
        <v>311</v>
      </c>
      <c r="E20" s="131"/>
      <c r="F20" s="131">
        <f>กระดาษทำการ!J92</f>
        <v>53500</v>
      </c>
      <c r="G20" s="125"/>
      <c r="H20" s="288"/>
      <c r="I20" s="142"/>
    </row>
    <row r="21" spans="1:8" ht="20.25" customHeight="1">
      <c r="A21" s="224"/>
      <c r="B21" s="131"/>
      <c r="C21" s="134"/>
      <c r="D21" s="130"/>
      <c r="E21" s="131"/>
      <c r="F21" s="131"/>
      <c r="G21" s="137"/>
      <c r="H21" s="267"/>
    </row>
    <row r="22" spans="1:8" ht="20.25" customHeight="1">
      <c r="A22" s="224"/>
      <c r="B22" s="131"/>
      <c r="C22" s="134"/>
      <c r="D22" s="130"/>
      <c r="E22" s="131"/>
      <c r="F22" s="131"/>
      <c r="G22" s="137"/>
      <c r="H22" s="125"/>
    </row>
    <row r="23" spans="1:8" ht="20.25" customHeight="1">
      <c r="A23" s="223"/>
      <c r="B23" s="131"/>
      <c r="C23" s="134"/>
      <c r="D23" s="130" t="s">
        <v>305</v>
      </c>
      <c r="E23" s="131">
        <f>'ต.ค.'!D28</f>
        <v>3111261.51</v>
      </c>
      <c r="F23" s="131"/>
      <c r="G23" s="137"/>
      <c r="H23" s="137"/>
    </row>
    <row r="24" spans="1:8" ht="20.25" customHeight="1">
      <c r="A24" s="139"/>
      <c r="B24" s="131"/>
      <c r="C24" s="134"/>
      <c r="D24" s="140" t="s">
        <v>234</v>
      </c>
      <c r="E24" s="131">
        <f>'งบรับ-จ่าย'!C36</f>
        <v>4756168.929999996</v>
      </c>
      <c r="F24" s="131"/>
      <c r="G24" s="137"/>
      <c r="H24" s="125"/>
    </row>
    <row r="25" spans="1:11" ht="20.25" customHeight="1">
      <c r="A25" s="130"/>
      <c r="B25" s="131"/>
      <c r="C25" s="134"/>
      <c r="D25" s="141" t="s">
        <v>235</v>
      </c>
      <c r="E25" s="131">
        <f>'ต.ค.'!F28+'ต.ค.'!H28+'ต.ค.'!L28+'พ.ย'!F28+'พ.ย'!H28+'พ.ย'!L28+'ธ.ค.'!F28+'ธ.ค.'!H28+'ธ.ค.'!L28+'ม.ค.'!F28+'ม.ค.'!H28+'ม.ค.'!L28+'ก.พ.'!F28+'ก.พ.'!H28+'ก.พ.'!L28+'มี.ค.'!F28+'มี.ค.'!H28+'มี.ค.'!L28+'เม.ย.'!F28+'เม.ย.'!H28+'เม.ย.'!L28+'พ.ค.'!F28+'พ.ค.'!H28+'พ.ค.'!L28+'มิ.ย.'!F28+'มิ.ย.'!H28+'มิ.ย.'!L28+'ก.ค.'!F28+'ก.ค.'!H28+'ก.ค.'!L28+'ส.ค.'!F28+'ส.ค.'!L28+'ก.ย.'!F28+'ก.ย.'!H28+'ก.ย.'!L28</f>
        <v>47825.44</v>
      </c>
      <c r="F25" s="131"/>
      <c r="G25" s="137"/>
      <c r="H25" s="125"/>
      <c r="I25" s="142"/>
      <c r="J25" s="142"/>
      <c r="K25" s="142"/>
    </row>
    <row r="26" spans="1:10" ht="20.25" customHeight="1">
      <c r="A26" s="130"/>
      <c r="B26" s="131"/>
      <c r="C26" s="134"/>
      <c r="D26" s="140" t="s">
        <v>330</v>
      </c>
      <c r="E26" s="131">
        <f>'ต.ค.'!E28+'ต.ค.'!G28+'ต.ค.'!K28+'พ.ย'!E28+'พ.ย'!G28+'พ.ย'!K28+'ธ.ค.'!E28+'ธ.ค.'!G28+'ธ.ค.'!K28+'ม.ค.'!E28+'ม.ค.'!G28+'ม.ค.'!K28+'ก.พ.'!E28+'ก.พ.'!G28+'ก.พ.'!K28+'มี.ค.'!E28+'มี.ค.'!K28+'เม.ย.'!E28+'เม.ย.'!G28+'เม.ย.'!K28+'พ.ค.'!E28+'พ.ค.'!K28+'มิ.ย.'!E28+'มิ.ย.'!G28+'มิ.ย.'!K28+'ก.ค.'!E28+'ก.ค.'!G28+'ก.ค.'!K28+'ส.ค.'!E28+'ส.ค.'!G28+'ส.ค.'!K28+'ก.ย.'!E28+'ก.ย.'!G28+'ก.ย.'!K28</f>
        <v>483884.6</v>
      </c>
      <c r="F26" s="131"/>
      <c r="G26" s="137"/>
      <c r="H26" s="143"/>
      <c r="I26" s="144"/>
      <c r="J26" s="144"/>
    </row>
    <row r="27" spans="1:10" ht="20.25" customHeight="1">
      <c r="A27" s="130"/>
      <c r="B27" s="131"/>
      <c r="C27" s="134"/>
      <c r="D27" s="130" t="s">
        <v>332</v>
      </c>
      <c r="E27" s="131">
        <f>กระดาษทำการ!H30</f>
        <v>1189042.232499999</v>
      </c>
      <c r="F27" s="131"/>
      <c r="G27" s="137"/>
      <c r="H27" s="143"/>
      <c r="I27" s="144"/>
      <c r="J27" s="144"/>
    </row>
    <row r="28" spans="1:10" ht="20.25" customHeight="1">
      <c r="A28" s="145"/>
      <c r="B28" s="146"/>
      <c r="C28" s="134"/>
      <c r="D28" s="303" t="s">
        <v>331</v>
      </c>
      <c r="E28" s="146"/>
      <c r="F28" s="135">
        <f>E23+E24+E25-E26-E27</f>
        <v>6242329.047499998</v>
      </c>
      <c r="G28" s="137"/>
      <c r="H28" s="143"/>
      <c r="I28" s="144"/>
      <c r="J28" s="144"/>
    </row>
    <row r="29" spans="1:7" ht="20.25" customHeight="1" thickBot="1">
      <c r="A29" s="147"/>
      <c r="B29" s="148"/>
      <c r="C29" s="149">
        <f>SUM(C7:C28)</f>
        <v>11885092.750000002</v>
      </c>
      <c r="D29" s="150"/>
      <c r="E29" s="151"/>
      <c r="F29" s="152">
        <f>SUM(F7:F28)</f>
        <v>11885092.749999996</v>
      </c>
      <c r="G29" s="59">
        <f>C29-F29</f>
        <v>0</v>
      </c>
    </row>
    <row r="30" spans="1:18" ht="20.25" customHeight="1" thickTop="1">
      <c r="A30" s="153" t="s">
        <v>154</v>
      </c>
      <c r="B30" s="348" t="s">
        <v>213</v>
      </c>
      <c r="C30" s="348"/>
      <c r="D30" s="153" t="s">
        <v>213</v>
      </c>
      <c r="E30" s="348" t="s">
        <v>152</v>
      </c>
      <c r="F30" s="348"/>
      <c r="G30" s="154"/>
      <c r="H30" s="349"/>
      <c r="I30" s="349"/>
      <c r="J30" s="349"/>
      <c r="K30" s="155"/>
      <c r="L30" s="155"/>
      <c r="M30" s="155"/>
      <c r="N30" s="155"/>
      <c r="O30" s="155"/>
      <c r="P30" s="155"/>
      <c r="Q30" s="155"/>
      <c r="R30" s="155"/>
    </row>
    <row r="31" spans="1:18" ht="20.25" customHeight="1">
      <c r="A31" s="153"/>
      <c r="B31" s="156"/>
      <c r="C31" s="157"/>
      <c r="D31" s="158"/>
      <c r="E31" s="159"/>
      <c r="F31" s="159"/>
      <c r="G31" s="160"/>
      <c r="H31" s="161"/>
      <c r="I31" s="161"/>
      <c r="J31" s="160"/>
      <c r="K31" s="155"/>
      <c r="L31" s="155"/>
      <c r="M31" s="155"/>
      <c r="N31" s="155"/>
      <c r="O31" s="155"/>
      <c r="P31" s="155"/>
      <c r="Q31" s="155"/>
      <c r="R31" s="155"/>
    </row>
    <row r="32" spans="1:18" s="63" customFormat="1" ht="20.25" customHeight="1">
      <c r="A32" s="153" t="s">
        <v>236</v>
      </c>
      <c r="B32" s="346" t="s">
        <v>216</v>
      </c>
      <c r="C32" s="346"/>
      <c r="D32" s="162" t="s">
        <v>314</v>
      </c>
      <c r="E32" s="346" t="s">
        <v>217</v>
      </c>
      <c r="F32" s="346"/>
      <c r="G32" s="163"/>
      <c r="H32" s="347"/>
      <c r="I32" s="347"/>
      <c r="J32" s="347"/>
      <c r="K32" s="164"/>
      <c r="L32" s="164"/>
      <c r="M32" s="164"/>
      <c r="N32" s="164"/>
      <c r="O32" s="164"/>
      <c r="P32" s="164"/>
      <c r="Q32" s="164"/>
      <c r="R32" s="164"/>
    </row>
    <row r="33" spans="1:18" s="166" customFormat="1" ht="20.25" customHeight="1">
      <c r="A33" s="153" t="s">
        <v>155</v>
      </c>
      <c r="B33" s="346" t="s">
        <v>237</v>
      </c>
      <c r="C33" s="346"/>
      <c r="D33" s="162" t="s">
        <v>156</v>
      </c>
      <c r="E33" s="346" t="s">
        <v>157</v>
      </c>
      <c r="F33" s="346"/>
      <c r="G33" s="163"/>
      <c r="H33" s="347"/>
      <c r="I33" s="347"/>
      <c r="J33" s="347"/>
      <c r="K33" s="165"/>
      <c r="L33" s="165"/>
      <c r="M33" s="165"/>
      <c r="N33" s="165"/>
      <c r="O33" s="165"/>
      <c r="P33" s="165"/>
      <c r="Q33" s="165"/>
      <c r="R33" s="165"/>
    </row>
    <row r="34" spans="2:6" s="77" customFormat="1" ht="20.25" customHeight="1">
      <c r="B34" s="76"/>
      <c r="C34" s="76"/>
      <c r="E34" s="76"/>
      <c r="F34" s="76"/>
    </row>
    <row r="35" spans="2:6" s="77" customFormat="1" ht="20.25" customHeight="1">
      <c r="B35" s="76"/>
      <c r="C35" s="76"/>
      <c r="E35" s="76"/>
      <c r="F35" s="76"/>
    </row>
    <row r="36" spans="2:6" s="77" customFormat="1" ht="20.25" customHeight="1">
      <c r="B36" s="76"/>
      <c r="C36" s="76"/>
      <c r="E36" s="76"/>
      <c r="F36" s="76"/>
    </row>
    <row r="37" spans="2:6" s="77" customFormat="1" ht="20.25" customHeight="1">
      <c r="B37" s="76"/>
      <c r="C37" s="76"/>
      <c r="E37" s="76"/>
      <c r="F37" s="76"/>
    </row>
    <row r="38" spans="2:6" s="77" customFormat="1" ht="20.25" customHeight="1">
      <c r="B38" s="76"/>
      <c r="C38" s="76"/>
      <c r="E38" s="76"/>
      <c r="F38" s="76"/>
    </row>
    <row r="39" spans="2:6" s="77" customFormat="1" ht="20.25" customHeight="1">
      <c r="B39" s="76"/>
      <c r="C39" s="76"/>
      <c r="E39" s="76"/>
      <c r="F39" s="76"/>
    </row>
    <row r="40" spans="2:6" s="77" customFormat="1" ht="20.25" customHeight="1">
      <c r="B40" s="76"/>
      <c r="C40" s="76"/>
      <c r="E40" s="76"/>
      <c r="F40" s="76"/>
    </row>
    <row r="41" spans="2:6" s="77" customFormat="1" ht="20.25" customHeight="1">
      <c r="B41" s="76"/>
      <c r="C41" s="76"/>
      <c r="E41" s="76"/>
      <c r="F41" s="76"/>
    </row>
    <row r="42" spans="1:18" ht="20.25" customHeight="1">
      <c r="A42" s="153"/>
      <c r="B42" s="348"/>
      <c r="C42" s="348"/>
      <c r="D42" s="153"/>
      <c r="E42" s="348"/>
      <c r="F42" s="348"/>
      <c r="G42" s="154"/>
      <c r="H42" s="349"/>
      <c r="I42" s="349"/>
      <c r="J42" s="349"/>
      <c r="K42" s="155"/>
      <c r="L42" s="155"/>
      <c r="M42" s="155"/>
      <c r="N42" s="155"/>
      <c r="O42" s="155"/>
      <c r="P42" s="155"/>
      <c r="Q42" s="155"/>
      <c r="R42" s="155"/>
    </row>
    <row r="43" spans="1:18" ht="20.25" customHeight="1">
      <c r="A43" s="153"/>
      <c r="B43" s="156"/>
      <c r="C43" s="157"/>
      <c r="D43" s="158"/>
      <c r="E43" s="159"/>
      <c r="F43" s="159"/>
      <c r="G43" s="160"/>
      <c r="H43" s="161"/>
      <c r="I43" s="161"/>
      <c r="J43" s="160"/>
      <c r="K43" s="155"/>
      <c r="L43" s="155"/>
      <c r="M43" s="155"/>
      <c r="N43" s="155"/>
      <c r="O43" s="155"/>
      <c r="P43" s="155"/>
      <c r="Q43" s="155"/>
      <c r="R43" s="155"/>
    </row>
    <row r="44" spans="1:18" s="63" customFormat="1" ht="20.25" customHeight="1">
      <c r="A44" s="153"/>
      <c r="B44" s="346"/>
      <c r="C44" s="346"/>
      <c r="D44" s="162"/>
      <c r="E44" s="346"/>
      <c r="F44" s="346"/>
      <c r="G44" s="163"/>
      <c r="H44" s="347"/>
      <c r="I44" s="347"/>
      <c r="J44" s="347"/>
      <c r="K44" s="164"/>
      <c r="L44" s="164"/>
      <c r="M44" s="164"/>
      <c r="N44" s="164"/>
      <c r="O44" s="164"/>
      <c r="P44" s="164"/>
      <c r="Q44" s="164"/>
      <c r="R44" s="164"/>
    </row>
    <row r="45" spans="1:18" s="166" customFormat="1" ht="20.25" customHeight="1">
      <c r="A45" s="153"/>
      <c r="B45" s="346"/>
      <c r="C45" s="346"/>
      <c r="D45" s="162"/>
      <c r="E45" s="346"/>
      <c r="F45" s="346"/>
      <c r="G45" s="163"/>
      <c r="H45" s="347"/>
      <c r="I45" s="347"/>
      <c r="J45" s="347"/>
      <c r="K45" s="165"/>
      <c r="L45" s="165"/>
      <c r="M45" s="165"/>
      <c r="N45" s="165"/>
      <c r="O45" s="165"/>
      <c r="P45" s="165"/>
      <c r="Q45" s="165"/>
      <c r="R45" s="165"/>
    </row>
    <row r="46" spans="2:6" s="77" customFormat="1" ht="20.25" customHeight="1">
      <c r="B46" s="76"/>
      <c r="C46" s="76"/>
      <c r="E46" s="76"/>
      <c r="F46" s="76"/>
    </row>
    <row r="47" spans="2:6" s="77" customFormat="1" ht="20.25" customHeight="1">
      <c r="B47" s="76"/>
      <c r="C47" s="76"/>
      <c r="E47" s="76"/>
      <c r="F47" s="76"/>
    </row>
    <row r="48" spans="2:6" s="77" customFormat="1" ht="20.25" customHeight="1">
      <c r="B48" s="76"/>
      <c r="C48" s="76"/>
      <c r="E48" s="76"/>
      <c r="F48" s="76"/>
    </row>
    <row r="49" spans="2:6" s="77" customFormat="1" ht="20.25" customHeight="1">
      <c r="B49" s="76"/>
      <c r="C49" s="76"/>
      <c r="E49" s="76"/>
      <c r="F49" s="76"/>
    </row>
    <row r="50" spans="2:6" s="77" customFormat="1" ht="20.25" customHeight="1">
      <c r="B50" s="76"/>
      <c r="C50" s="76"/>
      <c r="E50" s="76"/>
      <c r="F50" s="76"/>
    </row>
    <row r="51" spans="2:6" s="77" customFormat="1" ht="20.25" customHeight="1">
      <c r="B51" s="76"/>
      <c r="C51" s="76"/>
      <c r="E51" s="76"/>
      <c r="F51" s="76"/>
    </row>
    <row r="52" spans="2:6" s="77" customFormat="1" ht="20.25" customHeight="1">
      <c r="B52" s="76"/>
      <c r="C52" s="76"/>
      <c r="E52" s="76"/>
      <c r="F52" s="76"/>
    </row>
    <row r="53" spans="2:6" s="77" customFormat="1" ht="20.25" customHeight="1">
      <c r="B53" s="76"/>
      <c r="C53" s="76"/>
      <c r="E53" s="76"/>
      <c r="F53" s="76"/>
    </row>
    <row r="54" spans="2:6" s="77" customFormat="1" ht="20.25" customHeight="1">
      <c r="B54" s="76"/>
      <c r="C54" s="76"/>
      <c r="E54" s="76"/>
      <c r="F54" s="76"/>
    </row>
    <row r="55" spans="2:6" s="77" customFormat="1" ht="20.25" customHeight="1">
      <c r="B55" s="76"/>
      <c r="C55" s="76"/>
      <c r="E55" s="76"/>
      <c r="F55" s="76"/>
    </row>
    <row r="56" spans="2:6" s="77" customFormat="1" ht="20.25" customHeight="1">
      <c r="B56" s="76"/>
      <c r="C56" s="76"/>
      <c r="E56" s="76"/>
      <c r="F56" s="76"/>
    </row>
    <row r="57" spans="2:6" s="77" customFormat="1" ht="20.25" customHeight="1">
      <c r="B57" s="76"/>
      <c r="C57" s="76"/>
      <c r="E57" s="76"/>
      <c r="F57" s="76"/>
    </row>
    <row r="58" spans="2:6" s="77" customFormat="1" ht="20.25" customHeight="1">
      <c r="B58" s="76"/>
      <c r="C58" s="76"/>
      <c r="E58" s="76"/>
      <c r="F58" s="76"/>
    </row>
    <row r="59" spans="2:6" s="77" customFormat="1" ht="20.25" customHeight="1">
      <c r="B59" s="76"/>
      <c r="C59" s="76"/>
      <c r="E59" s="76"/>
      <c r="F59" s="76"/>
    </row>
    <row r="60" spans="2:6" s="77" customFormat="1" ht="20.25" customHeight="1">
      <c r="B60" s="76"/>
      <c r="C60" s="76"/>
      <c r="E60" s="76"/>
      <c r="F60" s="76"/>
    </row>
    <row r="61" spans="2:6" s="77" customFormat="1" ht="20.25" customHeight="1">
      <c r="B61" s="76"/>
      <c r="C61" s="76"/>
      <c r="E61" s="76"/>
      <c r="F61" s="76"/>
    </row>
    <row r="62" spans="2:6" s="77" customFormat="1" ht="20.25" customHeight="1">
      <c r="B62" s="76"/>
      <c r="C62" s="76"/>
      <c r="E62" s="76"/>
      <c r="F62" s="76"/>
    </row>
    <row r="63" spans="2:6" s="77" customFormat="1" ht="20.25" customHeight="1">
      <c r="B63" s="76"/>
      <c r="C63" s="76"/>
      <c r="E63" s="76"/>
      <c r="F63" s="76"/>
    </row>
    <row r="64" spans="2:6" s="77" customFormat="1" ht="20.25" customHeight="1">
      <c r="B64" s="76"/>
      <c r="C64" s="76"/>
      <c r="E64" s="76"/>
      <c r="F64" s="76"/>
    </row>
    <row r="65" spans="2:6" s="77" customFormat="1" ht="20.25" customHeight="1">
      <c r="B65" s="76"/>
      <c r="C65" s="76"/>
      <c r="E65" s="76"/>
      <c r="F65" s="76"/>
    </row>
    <row r="66" spans="2:6" s="77" customFormat="1" ht="20.25" customHeight="1">
      <c r="B66" s="76"/>
      <c r="C66" s="76"/>
      <c r="E66" s="76"/>
      <c r="F66" s="76"/>
    </row>
    <row r="67" spans="2:6" s="77" customFormat="1" ht="20.25" customHeight="1">
      <c r="B67" s="76"/>
      <c r="C67" s="76"/>
      <c r="E67" s="76"/>
      <c r="F67" s="76"/>
    </row>
    <row r="68" spans="2:6" s="77" customFormat="1" ht="20.25" customHeight="1">
      <c r="B68" s="76"/>
      <c r="C68" s="76"/>
      <c r="E68" s="76"/>
      <c r="F68" s="76"/>
    </row>
    <row r="69" spans="2:6" s="77" customFormat="1" ht="20.25" customHeight="1">
      <c r="B69" s="76"/>
      <c r="C69" s="76"/>
      <c r="E69" s="76"/>
      <c r="F69" s="76"/>
    </row>
    <row r="70" spans="2:6" s="77" customFormat="1" ht="20.25" customHeight="1">
      <c r="B70" s="76"/>
      <c r="C70" s="76"/>
      <c r="E70" s="76"/>
      <c r="F70" s="76"/>
    </row>
    <row r="71" spans="2:6" s="77" customFormat="1" ht="20.25" customHeight="1">
      <c r="B71" s="76"/>
      <c r="C71" s="76"/>
      <c r="E71" s="76"/>
      <c r="F71" s="76"/>
    </row>
    <row r="72" spans="2:6" s="77" customFormat="1" ht="20.25" customHeight="1">
      <c r="B72" s="76"/>
      <c r="C72" s="76"/>
      <c r="E72" s="76"/>
      <c r="F72" s="76"/>
    </row>
    <row r="73" spans="2:6" s="77" customFormat="1" ht="20.25" customHeight="1">
      <c r="B73" s="76"/>
      <c r="C73" s="76"/>
      <c r="E73" s="76"/>
      <c r="F73" s="76"/>
    </row>
    <row r="74" spans="2:6" s="77" customFormat="1" ht="20.25" customHeight="1">
      <c r="B74" s="76"/>
      <c r="C74" s="76"/>
      <c r="E74" s="76"/>
      <c r="F74" s="76"/>
    </row>
    <row r="75" spans="2:6" s="77" customFormat="1" ht="20.25" customHeight="1">
      <c r="B75" s="76"/>
      <c r="C75" s="76"/>
      <c r="E75" s="76"/>
      <c r="F75" s="76"/>
    </row>
    <row r="76" spans="2:6" s="77" customFormat="1" ht="20.25" customHeight="1">
      <c r="B76" s="76"/>
      <c r="C76" s="76"/>
      <c r="E76" s="76"/>
      <c r="F76" s="76"/>
    </row>
    <row r="77" spans="2:6" s="77" customFormat="1" ht="20.25" customHeight="1">
      <c r="B77" s="76"/>
      <c r="C77" s="76"/>
      <c r="E77" s="76"/>
      <c r="F77" s="76"/>
    </row>
    <row r="78" spans="2:6" s="77" customFormat="1" ht="20.25" customHeight="1">
      <c r="B78" s="76"/>
      <c r="C78" s="76"/>
      <c r="E78" s="76"/>
      <c r="F78" s="76"/>
    </row>
    <row r="79" spans="2:6" s="77" customFormat="1" ht="20.25" customHeight="1">
      <c r="B79" s="76"/>
      <c r="C79" s="76"/>
      <c r="E79" s="76"/>
      <c r="F79" s="76"/>
    </row>
    <row r="80" spans="2:6" s="77" customFormat="1" ht="20.25" customHeight="1">
      <c r="B80" s="76"/>
      <c r="C80" s="76"/>
      <c r="E80" s="76"/>
      <c r="F80" s="76"/>
    </row>
    <row r="81" spans="2:6" s="77" customFormat="1" ht="20.25" customHeight="1">
      <c r="B81" s="76"/>
      <c r="C81" s="76"/>
      <c r="E81" s="76"/>
      <c r="F81" s="76"/>
    </row>
    <row r="82" spans="2:6" s="77" customFormat="1" ht="20.25" customHeight="1">
      <c r="B82" s="76"/>
      <c r="C82" s="76"/>
      <c r="E82" s="76"/>
      <c r="F82" s="76"/>
    </row>
    <row r="83" spans="2:6" s="77" customFormat="1" ht="20.25" customHeight="1">
      <c r="B83" s="76"/>
      <c r="C83" s="76"/>
      <c r="E83" s="76"/>
      <c r="F83" s="76"/>
    </row>
    <row r="84" spans="2:6" s="77" customFormat="1" ht="20.25" customHeight="1">
      <c r="B84" s="76"/>
      <c r="C84" s="76"/>
      <c r="E84" s="76"/>
      <c r="F84" s="76"/>
    </row>
    <row r="85" spans="2:6" s="77" customFormat="1" ht="20.25" customHeight="1">
      <c r="B85" s="76"/>
      <c r="C85" s="76"/>
      <c r="E85" s="76"/>
      <c r="F85" s="76"/>
    </row>
    <row r="86" spans="2:6" s="77" customFormat="1" ht="20.25" customHeight="1">
      <c r="B86" s="76"/>
      <c r="C86" s="76"/>
      <c r="E86" s="76"/>
      <c r="F86" s="76"/>
    </row>
    <row r="87" spans="2:6" s="77" customFormat="1" ht="20.25" customHeight="1">
      <c r="B87" s="76"/>
      <c r="C87" s="76"/>
      <c r="E87" s="76"/>
      <c r="F87" s="76"/>
    </row>
    <row r="88" spans="2:6" s="77" customFormat="1" ht="20.25" customHeight="1">
      <c r="B88" s="76"/>
      <c r="C88" s="76"/>
      <c r="E88" s="76"/>
      <c r="F88" s="76"/>
    </row>
    <row r="89" spans="2:6" s="77" customFormat="1" ht="20.25" customHeight="1">
      <c r="B89" s="76"/>
      <c r="C89" s="76"/>
      <c r="E89" s="76"/>
      <c r="F89" s="76"/>
    </row>
    <row r="90" spans="2:6" s="77" customFormat="1" ht="20.25" customHeight="1">
      <c r="B90" s="76"/>
      <c r="C90" s="76"/>
      <c r="E90" s="76"/>
      <c r="F90" s="76"/>
    </row>
    <row r="91" spans="2:6" s="77" customFormat="1" ht="20.25" customHeight="1">
      <c r="B91" s="76"/>
      <c r="C91" s="76"/>
      <c r="E91" s="76"/>
      <c r="F91" s="76"/>
    </row>
    <row r="92" spans="2:6" s="77" customFormat="1" ht="20.25" customHeight="1">
      <c r="B92" s="76"/>
      <c r="C92" s="76"/>
      <c r="E92" s="76"/>
      <c r="F92" s="76"/>
    </row>
    <row r="93" spans="2:6" s="77" customFormat="1" ht="20.25" customHeight="1">
      <c r="B93" s="76"/>
      <c r="C93" s="76"/>
      <c r="E93" s="76"/>
      <c r="F93" s="76"/>
    </row>
    <row r="94" spans="2:6" s="77" customFormat="1" ht="20.25" customHeight="1">
      <c r="B94" s="76"/>
      <c r="C94" s="76"/>
      <c r="E94" s="76"/>
      <c r="F94" s="76"/>
    </row>
    <row r="95" spans="2:6" s="77" customFormat="1" ht="20.25" customHeight="1">
      <c r="B95" s="76"/>
      <c r="C95" s="76"/>
      <c r="E95" s="76"/>
      <c r="F95" s="76"/>
    </row>
    <row r="96" spans="2:6" s="77" customFormat="1" ht="20.25" customHeight="1">
      <c r="B96" s="76"/>
      <c r="C96" s="76"/>
      <c r="E96" s="76"/>
      <c r="F96" s="76"/>
    </row>
    <row r="97" spans="2:6" s="77" customFormat="1" ht="20.25" customHeight="1">
      <c r="B97" s="76"/>
      <c r="C97" s="76"/>
      <c r="E97" s="76"/>
      <c r="F97" s="76"/>
    </row>
    <row r="98" spans="2:6" s="77" customFormat="1" ht="20.25" customHeight="1">
      <c r="B98" s="76"/>
      <c r="C98" s="76"/>
      <c r="E98" s="76"/>
      <c r="F98" s="76"/>
    </row>
    <row r="99" spans="2:6" s="77" customFormat="1" ht="20.25" customHeight="1">
      <c r="B99" s="76"/>
      <c r="C99" s="76"/>
      <c r="E99" s="76"/>
      <c r="F99" s="76"/>
    </row>
    <row r="100" spans="2:6" s="77" customFormat="1" ht="20.25" customHeight="1">
      <c r="B100" s="76"/>
      <c r="C100" s="76"/>
      <c r="E100" s="76"/>
      <c r="F100" s="76"/>
    </row>
    <row r="101" spans="2:6" s="77" customFormat="1" ht="20.25" customHeight="1">
      <c r="B101" s="76"/>
      <c r="C101" s="76"/>
      <c r="E101" s="76"/>
      <c r="F101" s="76"/>
    </row>
    <row r="102" spans="2:6" s="77" customFormat="1" ht="20.25" customHeight="1">
      <c r="B102" s="76"/>
      <c r="C102" s="76"/>
      <c r="E102" s="76"/>
      <c r="F102" s="76"/>
    </row>
    <row r="103" spans="2:6" s="77" customFormat="1" ht="20.25" customHeight="1">
      <c r="B103" s="76"/>
      <c r="C103" s="76"/>
      <c r="E103" s="76"/>
      <c r="F103" s="76"/>
    </row>
    <row r="104" spans="2:6" s="77" customFormat="1" ht="20.25" customHeight="1">
      <c r="B104" s="76"/>
      <c r="C104" s="76"/>
      <c r="E104" s="76"/>
      <c r="F104" s="76"/>
    </row>
    <row r="105" spans="2:6" s="77" customFormat="1" ht="20.25" customHeight="1">
      <c r="B105" s="76"/>
      <c r="C105" s="76"/>
      <c r="E105" s="76"/>
      <c r="F105" s="76"/>
    </row>
    <row r="106" spans="2:6" s="77" customFormat="1" ht="20.25" customHeight="1">
      <c r="B106" s="76"/>
      <c r="C106" s="76"/>
      <c r="E106" s="76"/>
      <c r="F106" s="76"/>
    </row>
    <row r="107" spans="2:6" s="77" customFormat="1" ht="20.25" customHeight="1">
      <c r="B107" s="76"/>
      <c r="C107" s="76"/>
      <c r="E107" s="76"/>
      <c r="F107" s="76"/>
    </row>
    <row r="108" spans="2:6" s="77" customFormat="1" ht="20.25" customHeight="1">
      <c r="B108" s="76"/>
      <c r="C108" s="76"/>
      <c r="E108" s="76"/>
      <c r="F108" s="76"/>
    </row>
    <row r="109" spans="2:6" s="77" customFormat="1" ht="20.25" customHeight="1">
      <c r="B109" s="76"/>
      <c r="C109" s="76"/>
      <c r="E109" s="76"/>
      <c r="F109" s="76"/>
    </row>
    <row r="110" spans="2:6" s="77" customFormat="1" ht="20.25" customHeight="1">
      <c r="B110" s="76"/>
      <c r="C110" s="76"/>
      <c r="E110" s="76"/>
      <c r="F110" s="76"/>
    </row>
    <row r="111" spans="2:6" s="77" customFormat="1" ht="20.25" customHeight="1">
      <c r="B111" s="76"/>
      <c r="C111" s="76"/>
      <c r="E111" s="76"/>
      <c r="F111" s="76"/>
    </row>
    <row r="112" spans="2:6" s="77" customFormat="1" ht="20.25" customHeight="1">
      <c r="B112" s="76"/>
      <c r="C112" s="76"/>
      <c r="E112" s="76"/>
      <c r="F112" s="76"/>
    </row>
    <row r="113" spans="2:6" s="77" customFormat="1" ht="20.25" customHeight="1">
      <c r="B113" s="76"/>
      <c r="C113" s="76"/>
      <c r="E113" s="76"/>
      <c r="F113" s="76"/>
    </row>
    <row r="114" spans="2:6" s="77" customFormat="1" ht="20.25" customHeight="1">
      <c r="B114" s="76"/>
      <c r="C114" s="76"/>
      <c r="E114" s="76"/>
      <c r="F114" s="76"/>
    </row>
    <row r="115" spans="2:6" s="77" customFormat="1" ht="20.25" customHeight="1">
      <c r="B115" s="76"/>
      <c r="C115" s="76"/>
      <c r="E115" s="76"/>
      <c r="F115" s="76"/>
    </row>
    <row r="116" spans="2:6" s="77" customFormat="1" ht="20.25" customHeight="1">
      <c r="B116" s="76"/>
      <c r="C116" s="76"/>
      <c r="E116" s="76"/>
      <c r="F116" s="76"/>
    </row>
    <row r="117" spans="2:6" s="77" customFormat="1" ht="20.25" customHeight="1">
      <c r="B117" s="76"/>
      <c r="C117" s="76"/>
      <c r="E117" s="76"/>
      <c r="F117" s="76"/>
    </row>
    <row r="118" spans="2:6" s="77" customFormat="1" ht="20.25" customHeight="1">
      <c r="B118" s="76"/>
      <c r="C118" s="76"/>
      <c r="E118" s="76"/>
      <c r="F118" s="76"/>
    </row>
    <row r="119" spans="2:6" s="77" customFormat="1" ht="20.25" customHeight="1">
      <c r="B119" s="76"/>
      <c r="C119" s="76"/>
      <c r="E119" s="76"/>
      <c r="F119" s="76"/>
    </row>
    <row r="120" spans="2:6" s="77" customFormat="1" ht="20.25" customHeight="1">
      <c r="B120" s="76"/>
      <c r="C120" s="76"/>
      <c r="E120" s="76"/>
      <c r="F120" s="76"/>
    </row>
    <row r="121" spans="2:6" s="77" customFormat="1" ht="20.25" customHeight="1">
      <c r="B121" s="76"/>
      <c r="C121" s="76"/>
      <c r="E121" s="76"/>
      <c r="F121" s="76"/>
    </row>
    <row r="122" spans="2:6" s="77" customFormat="1" ht="20.25" customHeight="1">
      <c r="B122" s="76"/>
      <c r="C122" s="76"/>
      <c r="E122" s="76"/>
      <c r="F122" s="76"/>
    </row>
    <row r="123" spans="2:6" s="77" customFormat="1" ht="20.25" customHeight="1">
      <c r="B123" s="76"/>
      <c r="C123" s="76"/>
      <c r="E123" s="76"/>
      <c r="F123" s="76"/>
    </row>
    <row r="124" spans="2:6" s="77" customFormat="1" ht="20.25" customHeight="1">
      <c r="B124" s="76"/>
      <c r="C124" s="76"/>
      <c r="E124" s="76"/>
      <c r="F124" s="76"/>
    </row>
    <row r="125" spans="2:6" s="77" customFormat="1" ht="20.25" customHeight="1">
      <c r="B125" s="76"/>
      <c r="C125" s="76"/>
      <c r="E125" s="76"/>
      <c r="F125" s="76"/>
    </row>
    <row r="126" spans="2:6" s="77" customFormat="1" ht="20.25" customHeight="1">
      <c r="B126" s="76"/>
      <c r="C126" s="76"/>
      <c r="E126" s="76"/>
      <c r="F126" s="76"/>
    </row>
    <row r="127" spans="2:6" s="77" customFormat="1" ht="20.25" customHeight="1">
      <c r="B127" s="76"/>
      <c r="C127" s="76"/>
      <c r="E127" s="76"/>
      <c r="F127" s="76"/>
    </row>
    <row r="128" spans="2:6" s="77" customFormat="1" ht="20.25" customHeight="1">
      <c r="B128" s="76"/>
      <c r="C128" s="76"/>
      <c r="E128" s="76"/>
      <c r="F128" s="76"/>
    </row>
    <row r="129" spans="2:6" s="77" customFormat="1" ht="20.25" customHeight="1">
      <c r="B129" s="76"/>
      <c r="C129" s="76"/>
      <c r="E129" s="76"/>
      <c r="F129" s="76"/>
    </row>
    <row r="130" spans="2:6" s="77" customFormat="1" ht="20.25" customHeight="1">
      <c r="B130" s="76"/>
      <c r="C130" s="76"/>
      <c r="E130" s="76"/>
      <c r="F130" s="76"/>
    </row>
    <row r="131" spans="2:6" s="77" customFormat="1" ht="20.25" customHeight="1">
      <c r="B131" s="76"/>
      <c r="C131" s="76"/>
      <c r="E131" s="76"/>
      <c r="F131" s="76"/>
    </row>
    <row r="132" spans="2:6" s="77" customFormat="1" ht="20.25" customHeight="1">
      <c r="B132" s="76"/>
      <c r="C132" s="76"/>
      <c r="E132" s="76"/>
      <c r="F132" s="76"/>
    </row>
    <row r="133" spans="2:6" s="77" customFormat="1" ht="20.25" customHeight="1">
      <c r="B133" s="76"/>
      <c r="C133" s="76"/>
      <c r="E133" s="76"/>
      <c r="F133" s="76"/>
    </row>
    <row r="134" spans="2:6" s="77" customFormat="1" ht="20.25" customHeight="1">
      <c r="B134" s="76"/>
      <c r="C134" s="76"/>
      <c r="E134" s="76"/>
      <c r="F134" s="76"/>
    </row>
    <row r="135" spans="2:6" s="77" customFormat="1" ht="20.25" customHeight="1">
      <c r="B135" s="76"/>
      <c r="C135" s="76"/>
      <c r="E135" s="76"/>
      <c r="F135" s="76"/>
    </row>
    <row r="136" spans="2:6" s="77" customFormat="1" ht="20.25" customHeight="1">
      <c r="B136" s="76"/>
      <c r="C136" s="76"/>
      <c r="E136" s="76"/>
      <c r="F136" s="76"/>
    </row>
    <row r="137" spans="2:6" s="77" customFormat="1" ht="20.25" customHeight="1">
      <c r="B137" s="76"/>
      <c r="C137" s="76"/>
      <c r="E137" s="76"/>
      <c r="F137" s="76"/>
    </row>
    <row r="138" spans="2:6" s="77" customFormat="1" ht="20.25" customHeight="1">
      <c r="B138" s="76"/>
      <c r="C138" s="76"/>
      <c r="E138" s="76"/>
      <c r="F138" s="76"/>
    </row>
    <row r="139" spans="2:6" s="77" customFormat="1" ht="20.25" customHeight="1">
      <c r="B139" s="76"/>
      <c r="C139" s="76"/>
      <c r="E139" s="76"/>
      <c r="F139" s="76"/>
    </row>
    <row r="140" spans="2:6" s="77" customFormat="1" ht="20.25" customHeight="1">
      <c r="B140" s="76"/>
      <c r="C140" s="76"/>
      <c r="E140" s="76"/>
      <c r="F140" s="76"/>
    </row>
    <row r="141" spans="2:6" s="77" customFormat="1" ht="20.25" customHeight="1">
      <c r="B141" s="76"/>
      <c r="C141" s="76"/>
      <c r="E141" s="76"/>
      <c r="F141" s="76"/>
    </row>
    <row r="142" spans="2:6" s="77" customFormat="1" ht="20.25" customHeight="1">
      <c r="B142" s="76"/>
      <c r="C142" s="76"/>
      <c r="E142" s="76"/>
      <c r="F142" s="76"/>
    </row>
    <row r="143" spans="2:6" s="77" customFormat="1" ht="20.25" customHeight="1">
      <c r="B143" s="76"/>
      <c r="C143" s="76"/>
      <c r="E143" s="76"/>
      <c r="F143" s="76"/>
    </row>
    <row r="144" spans="2:6" s="77" customFormat="1" ht="20.25" customHeight="1">
      <c r="B144" s="76"/>
      <c r="C144" s="76"/>
      <c r="E144" s="76"/>
      <c r="F144" s="76"/>
    </row>
    <row r="145" spans="2:6" s="77" customFormat="1" ht="20.25" customHeight="1">
      <c r="B145" s="76"/>
      <c r="C145" s="76"/>
      <c r="E145" s="76"/>
      <c r="F145" s="76"/>
    </row>
    <row r="146" spans="2:6" s="77" customFormat="1" ht="20.25" customHeight="1">
      <c r="B146" s="76"/>
      <c r="C146" s="76"/>
      <c r="E146" s="76"/>
      <c r="F146" s="76"/>
    </row>
    <row r="147" spans="2:6" s="77" customFormat="1" ht="20.25" customHeight="1">
      <c r="B147" s="76"/>
      <c r="C147" s="76"/>
      <c r="E147" s="76"/>
      <c r="F147" s="76"/>
    </row>
    <row r="148" spans="2:6" s="77" customFormat="1" ht="20.25" customHeight="1">
      <c r="B148" s="76"/>
      <c r="C148" s="76"/>
      <c r="E148" s="76"/>
      <c r="F148" s="76"/>
    </row>
    <row r="149" spans="2:6" s="77" customFormat="1" ht="20.25" customHeight="1">
      <c r="B149" s="76"/>
      <c r="C149" s="76"/>
      <c r="E149" s="76"/>
      <c r="F149" s="76"/>
    </row>
    <row r="150" spans="2:6" s="77" customFormat="1" ht="20.25" customHeight="1">
      <c r="B150" s="76"/>
      <c r="C150" s="76"/>
      <c r="E150" s="76"/>
      <c r="F150" s="76"/>
    </row>
    <row r="151" spans="2:6" s="77" customFormat="1" ht="20.25" customHeight="1">
      <c r="B151" s="76"/>
      <c r="C151" s="76"/>
      <c r="E151" s="76"/>
      <c r="F151" s="76"/>
    </row>
    <row r="152" spans="2:6" s="77" customFormat="1" ht="20.25" customHeight="1">
      <c r="B152" s="76"/>
      <c r="C152" s="76"/>
      <c r="E152" s="76"/>
      <c r="F152" s="76"/>
    </row>
    <row r="153" spans="2:6" s="77" customFormat="1" ht="20.25" customHeight="1">
      <c r="B153" s="76"/>
      <c r="C153" s="76"/>
      <c r="E153" s="76"/>
      <c r="F153" s="76"/>
    </row>
    <row r="154" spans="2:6" s="77" customFormat="1" ht="20.25" customHeight="1">
      <c r="B154" s="76"/>
      <c r="C154" s="76"/>
      <c r="E154" s="76"/>
      <c r="F154" s="76"/>
    </row>
    <row r="155" spans="2:6" s="77" customFormat="1" ht="20.25" customHeight="1">
      <c r="B155" s="76"/>
      <c r="C155" s="76"/>
      <c r="E155" s="76"/>
      <c r="F155" s="76"/>
    </row>
    <row r="156" spans="2:6" s="77" customFormat="1" ht="20.25" customHeight="1">
      <c r="B156" s="76"/>
      <c r="C156" s="76"/>
      <c r="E156" s="76"/>
      <c r="F156" s="76"/>
    </row>
    <row r="157" spans="2:6" s="77" customFormat="1" ht="20.25" customHeight="1">
      <c r="B157" s="76"/>
      <c r="C157" s="76"/>
      <c r="E157" s="76"/>
      <c r="F157" s="76"/>
    </row>
    <row r="158" spans="2:6" s="77" customFormat="1" ht="20.25" customHeight="1">
      <c r="B158" s="76"/>
      <c r="C158" s="76"/>
      <c r="E158" s="76"/>
      <c r="F158" s="76"/>
    </row>
    <row r="159" spans="2:6" s="77" customFormat="1" ht="20.25" customHeight="1">
      <c r="B159" s="76"/>
      <c r="C159" s="76"/>
      <c r="E159" s="76"/>
      <c r="F159" s="76"/>
    </row>
    <row r="160" spans="2:6" s="77" customFormat="1" ht="20.25" customHeight="1">
      <c r="B160" s="76"/>
      <c r="C160" s="76"/>
      <c r="E160" s="76"/>
      <c r="F160" s="76"/>
    </row>
    <row r="161" spans="2:6" s="77" customFormat="1" ht="20.25" customHeight="1">
      <c r="B161" s="76"/>
      <c r="C161" s="76"/>
      <c r="E161" s="76"/>
      <c r="F161" s="76"/>
    </row>
    <row r="162" spans="2:6" s="77" customFormat="1" ht="20.25" customHeight="1">
      <c r="B162" s="76"/>
      <c r="C162" s="76"/>
      <c r="E162" s="76"/>
      <c r="F162" s="76"/>
    </row>
    <row r="163" spans="2:6" s="77" customFormat="1" ht="20.25" customHeight="1">
      <c r="B163" s="76"/>
      <c r="C163" s="76"/>
      <c r="E163" s="76"/>
      <c r="F163" s="76"/>
    </row>
    <row r="164" spans="2:6" s="77" customFormat="1" ht="20.25" customHeight="1">
      <c r="B164" s="76"/>
      <c r="C164" s="76"/>
      <c r="E164" s="76"/>
      <c r="F164" s="76"/>
    </row>
    <row r="165" spans="2:6" s="77" customFormat="1" ht="20.25" customHeight="1">
      <c r="B165" s="76"/>
      <c r="C165" s="76"/>
      <c r="E165" s="76"/>
      <c r="F165" s="76"/>
    </row>
    <row r="166" spans="2:6" s="77" customFormat="1" ht="20.25" customHeight="1">
      <c r="B166" s="76"/>
      <c r="C166" s="76"/>
      <c r="E166" s="76"/>
      <c r="F166" s="76"/>
    </row>
    <row r="167" spans="2:6" s="77" customFormat="1" ht="20.25" customHeight="1">
      <c r="B167" s="76"/>
      <c r="C167" s="76"/>
      <c r="E167" s="76"/>
      <c r="F167" s="76"/>
    </row>
    <row r="168" spans="2:6" s="77" customFormat="1" ht="20.25" customHeight="1">
      <c r="B168" s="76"/>
      <c r="C168" s="76"/>
      <c r="E168" s="76"/>
      <c r="F168" s="76"/>
    </row>
    <row r="169" spans="2:6" s="77" customFormat="1" ht="20.25" customHeight="1">
      <c r="B169" s="76"/>
      <c r="C169" s="76"/>
      <c r="E169" s="76"/>
      <c r="F169" s="76"/>
    </row>
    <row r="170" spans="2:6" s="77" customFormat="1" ht="20.25" customHeight="1">
      <c r="B170" s="76"/>
      <c r="C170" s="76"/>
      <c r="E170" s="76"/>
      <c r="F170" s="76"/>
    </row>
    <row r="171" spans="2:6" s="77" customFormat="1" ht="20.25" customHeight="1">
      <c r="B171" s="76"/>
      <c r="C171" s="76"/>
      <c r="E171" s="76"/>
      <c r="F171" s="76"/>
    </row>
    <row r="172" spans="2:6" s="77" customFormat="1" ht="20.25" customHeight="1">
      <c r="B172" s="76"/>
      <c r="C172" s="76"/>
      <c r="E172" s="76"/>
      <c r="F172" s="76"/>
    </row>
    <row r="173" spans="2:6" s="77" customFormat="1" ht="20.25" customHeight="1">
      <c r="B173" s="76"/>
      <c r="C173" s="76"/>
      <c r="E173" s="76"/>
      <c r="F173" s="76"/>
    </row>
    <row r="174" spans="1:6" s="77" customFormat="1" ht="20.25" customHeight="1">
      <c r="A174"/>
      <c r="B174" s="57"/>
      <c r="C174" s="57"/>
      <c r="D174"/>
      <c r="E174" s="57"/>
      <c r="F174" s="57"/>
    </row>
  </sheetData>
  <sheetProtection/>
  <mergeCells count="21">
    <mergeCell ref="A1:F1"/>
    <mergeCell ref="A2:F2"/>
    <mergeCell ref="A3:F3"/>
    <mergeCell ref="B30:C30"/>
    <mergeCell ref="E30:F30"/>
    <mergeCell ref="H30:J30"/>
    <mergeCell ref="B32:C32"/>
    <mergeCell ref="E32:F32"/>
    <mergeCell ref="H32:J32"/>
    <mergeCell ref="B33:C33"/>
    <mergeCell ref="E33:F33"/>
    <mergeCell ref="H33:J33"/>
    <mergeCell ref="B45:C45"/>
    <mergeCell ref="E45:F45"/>
    <mergeCell ref="H45:J45"/>
    <mergeCell ref="B42:C42"/>
    <mergeCell ref="E42:F42"/>
    <mergeCell ref="H42:J42"/>
    <mergeCell ref="B44:C44"/>
    <mergeCell ref="E44:F44"/>
    <mergeCell ref="H44:J44"/>
  </mergeCells>
  <printOptions/>
  <pageMargins left="0.67" right="0.14" top="0.4" bottom="0.23" header="0.28" footer="0.23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G22" sqref="G22:K22"/>
    </sheetView>
  </sheetViews>
  <sheetFormatPr defaultColWidth="9.140625" defaultRowHeight="12.75"/>
  <cols>
    <col min="1" max="1" width="4.140625" style="63" customWidth="1"/>
    <col min="2" max="2" width="21.57421875" style="63" customWidth="1"/>
    <col min="3" max="3" width="14.140625" style="63" customWidth="1"/>
    <col min="4" max="4" width="4.140625" style="213" customWidth="1"/>
    <col min="5" max="5" width="15.421875" style="63" customWidth="1"/>
    <col min="6" max="6" width="4.7109375" style="63" customWidth="1"/>
    <col min="7" max="7" width="12.8515625" style="63" customWidth="1"/>
    <col min="8" max="8" width="4.140625" style="63" customWidth="1"/>
    <col min="9" max="9" width="13.7109375" style="63" customWidth="1"/>
    <col min="10" max="10" width="3.8515625" style="63" customWidth="1"/>
    <col min="11" max="11" width="5.00390625" style="63" customWidth="1"/>
    <col min="12" max="12" width="25.421875" style="63" customWidth="1"/>
    <col min="13" max="13" width="13.421875" style="63" customWidth="1"/>
    <col min="14" max="14" width="5.28125" style="63" customWidth="1"/>
    <col min="15" max="16384" width="9.140625" style="63" customWidth="1"/>
  </cols>
  <sheetData>
    <row r="1" spans="1:14" ht="23.25">
      <c r="A1" s="323" t="s">
        <v>238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75"/>
    </row>
    <row r="2" spans="1:14" ht="26.25">
      <c r="A2" s="358" t="s">
        <v>239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67"/>
    </row>
    <row r="3" spans="1:14" ht="23.25">
      <c r="A3" s="359" t="s">
        <v>301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168"/>
    </row>
    <row r="4" spans="1:14" ht="14.2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ht="35.25" customHeight="1" thickBot="1">
      <c r="A5" s="354" t="s">
        <v>240</v>
      </c>
      <c r="B5" s="354"/>
      <c r="C5" s="352" t="s">
        <v>241</v>
      </c>
      <c r="D5" s="353"/>
      <c r="E5" s="352" t="s">
        <v>242</v>
      </c>
      <c r="F5" s="353"/>
      <c r="G5" s="352" t="s">
        <v>243</v>
      </c>
      <c r="H5" s="353"/>
      <c r="I5" s="352" t="s">
        <v>244</v>
      </c>
      <c r="J5" s="353"/>
      <c r="K5" s="353" t="s">
        <v>245</v>
      </c>
      <c r="L5" s="354"/>
      <c r="M5" s="355" t="s">
        <v>246</v>
      </c>
      <c r="N5" s="356"/>
    </row>
    <row r="6" spans="1:14" ht="23.25">
      <c r="A6" s="169" t="s">
        <v>247</v>
      </c>
      <c r="B6" s="170" t="s">
        <v>248</v>
      </c>
      <c r="C6" s="171"/>
      <c r="D6" s="172"/>
      <c r="E6" s="173"/>
      <c r="F6" s="173"/>
      <c r="G6" s="174"/>
      <c r="H6" s="174"/>
      <c r="I6" s="174"/>
      <c r="J6" s="175"/>
      <c r="K6" s="176" t="s">
        <v>247</v>
      </c>
      <c r="L6" s="174" t="s">
        <v>249</v>
      </c>
      <c r="M6" s="177">
        <f>119400+526600+49700</f>
        <v>695700</v>
      </c>
      <c r="N6" s="178" t="s">
        <v>176</v>
      </c>
    </row>
    <row r="7" spans="1:14" ht="23.25">
      <c r="A7" s="179"/>
      <c r="B7" s="179" t="s">
        <v>250</v>
      </c>
      <c r="C7" s="180"/>
      <c r="D7" s="181"/>
      <c r="E7" s="177">
        <v>95000</v>
      </c>
      <c r="F7" s="177"/>
      <c r="G7" s="182" t="s">
        <v>251</v>
      </c>
      <c r="H7" s="182"/>
      <c r="I7" s="182">
        <f>E7</f>
        <v>95000</v>
      </c>
      <c r="J7" s="182" t="s">
        <v>176</v>
      </c>
      <c r="K7" s="182" t="s">
        <v>252</v>
      </c>
      <c r="L7" s="183" t="s">
        <v>253</v>
      </c>
      <c r="M7" s="177">
        <f>I14-M6</f>
        <v>6266007</v>
      </c>
      <c r="N7" s="178" t="s">
        <v>176</v>
      </c>
    </row>
    <row r="8" spans="1:14" ht="23.25">
      <c r="A8" s="179"/>
      <c r="B8" s="179" t="s">
        <v>254</v>
      </c>
      <c r="C8" s="180">
        <v>4403361</v>
      </c>
      <c r="D8" s="184" t="s">
        <v>176</v>
      </c>
      <c r="E8" s="177" t="s">
        <v>176</v>
      </c>
      <c r="F8" s="177" t="s">
        <v>176</v>
      </c>
      <c r="G8" s="182" t="s">
        <v>251</v>
      </c>
      <c r="H8" s="182"/>
      <c r="I8" s="177">
        <f>C8</f>
        <v>4403361</v>
      </c>
      <c r="J8" s="178" t="s">
        <v>176</v>
      </c>
      <c r="K8" s="182" t="s">
        <v>255</v>
      </c>
      <c r="L8" s="183" t="s">
        <v>211</v>
      </c>
      <c r="M8" s="185"/>
      <c r="N8" s="186"/>
    </row>
    <row r="9" spans="1:14" ht="23.25">
      <c r="A9" s="179"/>
      <c r="B9" s="179"/>
      <c r="C9" s="180"/>
      <c r="D9" s="181"/>
      <c r="E9" s="185"/>
      <c r="F9" s="185"/>
      <c r="G9" s="182"/>
      <c r="H9" s="182"/>
      <c r="I9" s="183"/>
      <c r="J9" s="183"/>
      <c r="K9" s="182"/>
      <c r="L9" s="183"/>
      <c r="M9" s="185"/>
      <c r="N9" s="186"/>
    </row>
    <row r="10" spans="1:14" ht="23.25">
      <c r="A10" s="187" t="s">
        <v>252</v>
      </c>
      <c r="B10" s="188" t="s">
        <v>256</v>
      </c>
      <c r="C10" s="180"/>
      <c r="D10" s="181"/>
      <c r="E10" s="185"/>
      <c r="F10" s="185"/>
      <c r="G10" s="182"/>
      <c r="H10" s="182"/>
      <c r="I10" s="183"/>
      <c r="J10" s="183"/>
      <c r="K10" s="182"/>
      <c r="L10" s="183"/>
      <c r="M10" s="185"/>
      <c r="N10" s="186"/>
    </row>
    <row r="11" spans="1:14" ht="23.25">
      <c r="A11" s="179"/>
      <c r="B11" s="179" t="s">
        <v>257</v>
      </c>
      <c r="C11" s="180">
        <v>2202850</v>
      </c>
      <c r="D11" s="184" t="s">
        <v>176</v>
      </c>
      <c r="E11" s="177">
        <v>141096</v>
      </c>
      <c r="F11" s="177" t="s">
        <v>176</v>
      </c>
      <c r="G11" s="182" t="s">
        <v>176</v>
      </c>
      <c r="H11" s="178" t="s">
        <v>176</v>
      </c>
      <c r="I11" s="177">
        <f>C11+E11</f>
        <v>2343946</v>
      </c>
      <c r="J11" s="178" t="s">
        <v>176</v>
      </c>
      <c r="K11" s="182"/>
      <c r="L11" s="183"/>
      <c r="M11" s="185"/>
      <c r="N11" s="186"/>
    </row>
    <row r="12" spans="1:14" ht="23.25">
      <c r="A12" s="179"/>
      <c r="B12" s="179" t="s">
        <v>258</v>
      </c>
      <c r="C12" s="180">
        <v>119400</v>
      </c>
      <c r="D12" s="181" t="s">
        <v>176</v>
      </c>
      <c r="E12" s="177" t="s">
        <v>176</v>
      </c>
      <c r="F12" s="184"/>
      <c r="G12" s="182" t="s">
        <v>251</v>
      </c>
      <c r="H12" s="182"/>
      <c r="I12" s="177">
        <f>C12</f>
        <v>119400</v>
      </c>
      <c r="J12" s="178" t="s">
        <v>176</v>
      </c>
      <c r="K12" s="182"/>
      <c r="L12" s="183"/>
      <c r="M12" s="185"/>
      <c r="N12" s="186"/>
    </row>
    <row r="13" spans="1:14" ht="24" thickBot="1">
      <c r="A13" s="189"/>
      <c r="B13" s="189"/>
      <c r="C13" s="190"/>
      <c r="D13" s="191"/>
      <c r="E13" s="192"/>
      <c r="F13" s="192"/>
      <c r="G13" s="193"/>
      <c r="H13" s="193"/>
      <c r="I13" s="192"/>
      <c r="J13" s="194"/>
      <c r="K13" s="195"/>
      <c r="L13" s="193"/>
      <c r="M13" s="192"/>
      <c r="N13" s="196"/>
    </row>
    <row r="14" spans="1:14" ht="24" thickBot="1">
      <c r="A14" s="197"/>
      <c r="B14" s="197"/>
      <c r="C14" s="198">
        <f>SUM(C6:C13)</f>
        <v>6725611</v>
      </c>
      <c r="D14" s="199" t="s">
        <v>176</v>
      </c>
      <c r="E14" s="198">
        <f>SUM(E6:E13)</f>
        <v>236096</v>
      </c>
      <c r="F14" s="200" t="s">
        <v>176</v>
      </c>
      <c r="G14" s="198"/>
      <c r="H14" s="201"/>
      <c r="I14" s="198">
        <f>SUM(I2:I13)</f>
        <v>6961707</v>
      </c>
      <c r="J14" s="200" t="s">
        <v>176</v>
      </c>
      <c r="K14" s="202"/>
      <c r="L14" s="203"/>
      <c r="M14" s="198">
        <f>SUM(M2:M13)</f>
        <v>6961707</v>
      </c>
      <c r="N14" s="200" t="s">
        <v>176</v>
      </c>
    </row>
    <row r="15" spans="1:14" ht="24" thickTop="1">
      <c r="A15" s="197"/>
      <c r="B15" s="197"/>
      <c r="C15" s="204"/>
      <c r="D15" s="205"/>
      <c r="E15" s="204"/>
      <c r="F15" s="204"/>
      <c r="G15" s="206"/>
      <c r="H15" s="206"/>
      <c r="I15" s="204"/>
      <c r="J15" s="204"/>
      <c r="K15" s="207"/>
      <c r="L15" s="206"/>
      <c r="M15" s="204"/>
      <c r="N15" s="204"/>
    </row>
    <row r="16" spans="1:14" ht="23.25">
      <c r="A16" s="197"/>
      <c r="B16" s="197"/>
      <c r="C16" s="204"/>
      <c r="D16" s="205"/>
      <c r="E16" s="204"/>
      <c r="F16" s="204"/>
      <c r="G16" s="206"/>
      <c r="H16" s="206"/>
      <c r="I16" s="204"/>
      <c r="J16" s="204"/>
      <c r="K16" s="207"/>
      <c r="L16" s="206"/>
      <c r="M16" s="273"/>
      <c r="N16" s="204"/>
    </row>
    <row r="17" spans="1:14" ht="23.25">
      <c r="A17" s="197"/>
      <c r="B17" s="197"/>
      <c r="C17" s="204"/>
      <c r="D17" s="205"/>
      <c r="E17" s="204"/>
      <c r="F17" s="204"/>
      <c r="G17" s="206"/>
      <c r="H17" s="206"/>
      <c r="I17" s="204"/>
      <c r="J17" s="204"/>
      <c r="K17" s="207"/>
      <c r="L17" s="206"/>
      <c r="M17" s="204"/>
      <c r="N17" s="204"/>
    </row>
    <row r="18" spans="1:14" ht="23.25">
      <c r="A18" s="197"/>
      <c r="B18" s="197"/>
      <c r="C18" s="208"/>
      <c r="D18" s="209"/>
      <c r="E18" s="208"/>
      <c r="F18" s="208"/>
      <c r="G18" s="197"/>
      <c r="H18" s="197"/>
      <c r="I18" s="81"/>
      <c r="J18" s="81"/>
      <c r="K18" s="210"/>
      <c r="L18" s="197"/>
      <c r="M18" s="81"/>
      <c r="N18" s="81"/>
    </row>
    <row r="19" spans="1:15" ht="21">
      <c r="A19" s="313" t="s">
        <v>154</v>
      </c>
      <c r="B19" s="313"/>
      <c r="C19" s="313" t="s">
        <v>213</v>
      </c>
      <c r="D19" s="313"/>
      <c r="E19" s="313"/>
      <c r="F19" s="115"/>
      <c r="G19" s="313" t="s">
        <v>213</v>
      </c>
      <c r="H19" s="313"/>
      <c r="I19" s="313"/>
      <c r="J19" s="313"/>
      <c r="K19" s="313"/>
      <c r="L19" s="313" t="s">
        <v>152</v>
      </c>
      <c r="M19" s="313"/>
      <c r="N19" s="313"/>
      <c r="O19" s="313"/>
    </row>
    <row r="20" spans="1:15" ht="21">
      <c r="A20" s="115"/>
      <c r="B20" s="120" t="s">
        <v>214</v>
      </c>
      <c r="C20" s="115"/>
      <c r="D20" s="211"/>
      <c r="E20" s="120" t="s">
        <v>214</v>
      </c>
      <c r="F20" s="120"/>
      <c r="G20" s="117"/>
      <c r="H20" s="117"/>
      <c r="I20" s="118"/>
      <c r="J20" s="118"/>
      <c r="K20" s="116"/>
      <c r="L20" s="68"/>
      <c r="M20" s="68"/>
      <c r="N20" s="68"/>
      <c r="O20" s="119"/>
    </row>
    <row r="21" spans="1:15" ht="25.5" customHeight="1">
      <c r="A21" s="312" t="s">
        <v>215</v>
      </c>
      <c r="B21" s="312"/>
      <c r="C21" s="312" t="s">
        <v>216</v>
      </c>
      <c r="D21" s="312"/>
      <c r="E21" s="312"/>
      <c r="F21" s="120"/>
      <c r="G21" s="312" t="s">
        <v>314</v>
      </c>
      <c r="H21" s="312"/>
      <c r="I21" s="312"/>
      <c r="J21" s="312"/>
      <c r="K21" s="312"/>
      <c r="L21" s="312" t="s">
        <v>217</v>
      </c>
      <c r="M21" s="312"/>
      <c r="N21" s="312"/>
      <c r="O21" s="312"/>
    </row>
    <row r="22" spans="1:15" ht="21" customHeight="1">
      <c r="A22" s="312" t="s">
        <v>155</v>
      </c>
      <c r="B22" s="312"/>
      <c r="C22" s="312" t="s">
        <v>237</v>
      </c>
      <c r="D22" s="312"/>
      <c r="E22" s="312"/>
      <c r="F22" s="120"/>
      <c r="G22" s="312" t="s">
        <v>156</v>
      </c>
      <c r="H22" s="312"/>
      <c r="I22" s="312"/>
      <c r="J22" s="312"/>
      <c r="K22" s="312"/>
      <c r="L22" s="312" t="s">
        <v>157</v>
      </c>
      <c r="M22" s="312"/>
      <c r="N22" s="312"/>
      <c r="O22" s="312"/>
    </row>
    <row r="23" spans="1:14" ht="21" customHeight="1">
      <c r="A23" s="357"/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212"/>
    </row>
  </sheetData>
  <sheetProtection/>
  <mergeCells count="23">
    <mergeCell ref="A1:M1"/>
    <mergeCell ref="A2:M2"/>
    <mergeCell ref="A3:M3"/>
    <mergeCell ref="A5:B5"/>
    <mergeCell ref="C5:D5"/>
    <mergeCell ref="E5:F5"/>
    <mergeCell ref="G5:H5"/>
    <mergeCell ref="A23:M23"/>
    <mergeCell ref="A22:B22"/>
    <mergeCell ref="C22:E22"/>
    <mergeCell ref="G22:K22"/>
    <mergeCell ref="L22:O22"/>
    <mergeCell ref="A19:B19"/>
    <mergeCell ref="C19:E19"/>
    <mergeCell ref="C21:E21"/>
    <mergeCell ref="G21:K21"/>
    <mergeCell ref="L21:O21"/>
    <mergeCell ref="G19:K19"/>
    <mergeCell ref="L19:O19"/>
    <mergeCell ref="A21:B21"/>
    <mergeCell ref="I5:J5"/>
    <mergeCell ref="K5:L5"/>
    <mergeCell ref="M5:N5"/>
  </mergeCells>
  <printOptions/>
  <pageMargins left="0.14" right="0.14" top="1" bottom="0.21" header="0.5" footer="0.1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102"/>
  <sheetViews>
    <sheetView zoomScalePageLayoutView="0" workbookViewId="0" topLeftCell="E1">
      <selection activeCell="H14" sqref="H14"/>
    </sheetView>
  </sheetViews>
  <sheetFormatPr defaultColWidth="9.140625" defaultRowHeight="12.75"/>
  <cols>
    <col min="1" max="1" width="55.7109375" style="5" customWidth="1"/>
    <col min="2" max="2" width="7.7109375" style="5" customWidth="1"/>
    <col min="3" max="4" width="13.7109375" style="9" customWidth="1"/>
    <col min="5" max="6" width="13.8515625" style="9" customWidth="1"/>
    <col min="7" max="14" width="13.7109375" style="9" customWidth="1"/>
    <col min="15" max="53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118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23.25">
      <c r="A4" s="307" t="s">
        <v>0</v>
      </c>
      <c r="B4" s="30" t="s">
        <v>77</v>
      </c>
      <c r="C4" s="305" t="s">
        <v>137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14" ht="23.25">
      <c r="A6" s="56" t="s">
        <v>51</v>
      </c>
      <c r="B6" s="7" t="s">
        <v>5</v>
      </c>
      <c r="C6" s="32">
        <f>'ก.ย.'!M6</f>
        <v>0</v>
      </c>
      <c r="D6" s="32">
        <f>'ก.พ.'!N6</f>
        <v>0</v>
      </c>
      <c r="E6" s="10">
        <v>0</v>
      </c>
      <c r="F6" s="10"/>
      <c r="G6" s="10"/>
      <c r="H6" s="10"/>
      <c r="I6" s="10"/>
      <c r="J6" s="10"/>
      <c r="K6" s="10"/>
      <c r="L6" s="10"/>
      <c r="M6" s="11">
        <f>SUM(C6+E6+G6+I6+K6)-(D6+F6+H6+J6+L6)</f>
        <v>0</v>
      </c>
      <c r="N6" s="11">
        <v>0</v>
      </c>
    </row>
    <row r="7" spans="1:14" ht="23.25">
      <c r="A7" s="1" t="s">
        <v>116</v>
      </c>
      <c r="B7" s="2" t="s">
        <v>6</v>
      </c>
      <c r="C7" s="11">
        <f>'ก.ย.'!M7</f>
        <v>0</v>
      </c>
      <c r="D7" s="11">
        <f>'ก.พ.'!N7</f>
        <v>0</v>
      </c>
      <c r="E7" s="12">
        <v>317814.85</v>
      </c>
      <c r="F7" s="12">
        <v>0</v>
      </c>
      <c r="G7" s="12"/>
      <c r="H7" s="12">
        <v>302635</v>
      </c>
      <c r="I7" s="12"/>
      <c r="J7" s="12"/>
      <c r="K7" s="12"/>
      <c r="L7" s="12">
        <f>1019622.12</f>
        <v>1019622.12</v>
      </c>
      <c r="M7" s="11">
        <f>SUM(C7+E7+G7+I7+K7)-(D7+F7+H7+J7+L7)</f>
        <v>-1004442.2700000001</v>
      </c>
      <c r="N7" s="11">
        <v>0</v>
      </c>
    </row>
    <row r="8" spans="1:14" ht="23.25">
      <c r="A8" s="1" t="s">
        <v>130</v>
      </c>
      <c r="B8" s="2" t="s">
        <v>7</v>
      </c>
      <c r="C8" s="11">
        <f>'ก.ย.'!M8</f>
        <v>571553.6</v>
      </c>
      <c r="D8" s="11">
        <f>'ก.พ.'!N8</f>
        <v>0</v>
      </c>
      <c r="E8" s="11"/>
      <c r="F8" s="11"/>
      <c r="G8" s="11"/>
      <c r="H8" s="11">
        <v>0</v>
      </c>
      <c r="I8" s="11"/>
      <c r="J8" s="11"/>
      <c r="K8" s="11">
        <f>1019622.12-312635</f>
        <v>706987.12</v>
      </c>
      <c r="L8" s="11"/>
      <c r="M8" s="11">
        <f>SUM(C8+E8+G8+I8+K8)-(D8+F8+H8+J8+L8)</f>
        <v>1278540.72</v>
      </c>
      <c r="N8" s="11">
        <v>0</v>
      </c>
    </row>
    <row r="9" spans="1:14" ht="23.25">
      <c r="A9" s="1" t="s">
        <v>134</v>
      </c>
      <c r="B9" s="2" t="s">
        <v>7</v>
      </c>
      <c r="C9" s="11">
        <f>'ก.ย.'!M9</f>
        <v>0</v>
      </c>
      <c r="D9" s="11">
        <f>'ก.พ.'!N9</f>
        <v>0</v>
      </c>
      <c r="E9" s="11"/>
      <c r="F9" s="11"/>
      <c r="G9" s="11"/>
      <c r="H9" s="11">
        <v>2239900.22</v>
      </c>
      <c r="I9" s="11"/>
      <c r="J9" s="11"/>
      <c r="K9" s="11">
        <f>H9</f>
        <v>2239900.22</v>
      </c>
      <c r="L9" s="11"/>
      <c r="M9" s="11">
        <f>SUM(C9+E9+G9+I9+K9)-(D9+F9+H9+J9+L9)</f>
        <v>0</v>
      </c>
      <c r="N9" s="11">
        <v>0</v>
      </c>
    </row>
    <row r="10" spans="1:15" ht="23.25">
      <c r="A10" s="1" t="s">
        <v>117</v>
      </c>
      <c r="B10" s="2" t="s">
        <v>8</v>
      </c>
      <c r="C10" s="11">
        <f>'ก.ย.'!M10</f>
        <v>10051985.700000001</v>
      </c>
      <c r="D10" s="11">
        <f>'ก.พ.'!N10</f>
        <v>0</v>
      </c>
      <c r="E10" s="11">
        <f>1811624.3</f>
        <v>1811624.3</v>
      </c>
      <c r="F10" s="11"/>
      <c r="G10" s="11"/>
      <c r="H10" s="11"/>
      <c r="I10" s="11"/>
      <c r="J10" s="11"/>
      <c r="K10" s="11"/>
      <c r="L10" s="11">
        <f>K9+297995.91+1004442.27-1615073.18</f>
        <v>1927265.2200000004</v>
      </c>
      <c r="M10" s="11">
        <f aca="true" t="shared" si="0" ref="M10:M67">SUM(C10+E10+G10+I10+K10)-(D10+F10+H10+J10+L10)</f>
        <v>9936344.780000001</v>
      </c>
      <c r="N10" s="11">
        <v>0</v>
      </c>
      <c r="O10" s="52">
        <f>9786111.96-M10</f>
        <v>-150232.8200000003</v>
      </c>
    </row>
    <row r="11" spans="1:15" ht="23.25">
      <c r="A11" s="1" t="s">
        <v>128</v>
      </c>
      <c r="B11" s="2" t="s">
        <v>8</v>
      </c>
      <c r="C11" s="11">
        <f>'ก.ย.'!M11</f>
        <v>1229929.48</v>
      </c>
      <c r="D11" s="11">
        <f>'ก.พ.'!N11</f>
        <v>0</v>
      </c>
      <c r="E11" s="11">
        <f>90018+805.21</f>
        <v>90823.21</v>
      </c>
      <c r="F11" s="11"/>
      <c r="G11" s="11"/>
      <c r="H11" s="11"/>
      <c r="I11" s="11"/>
      <c r="J11" s="11"/>
      <c r="K11" s="11"/>
      <c r="L11" s="11"/>
      <c r="M11" s="11">
        <f t="shared" si="0"/>
        <v>1320752.69</v>
      </c>
      <c r="N11" s="11">
        <v>0</v>
      </c>
      <c r="O11" s="5">
        <v>358994.16</v>
      </c>
    </row>
    <row r="12" spans="1:15" ht="23.25">
      <c r="A12" s="1" t="s">
        <v>131</v>
      </c>
      <c r="B12" s="2" t="s">
        <v>8</v>
      </c>
      <c r="C12" s="11">
        <f>'ก.ย.'!M12</f>
        <v>1623.97</v>
      </c>
      <c r="D12" s="11">
        <f>'ก.พ.'!N12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1623.97</v>
      </c>
      <c r="N12" s="11"/>
      <c r="O12" s="52">
        <f>O10+O11</f>
        <v>208761.33999999968</v>
      </c>
    </row>
    <row r="13" spans="1:14" ht="23.25">
      <c r="A13" s="1" t="s">
        <v>39</v>
      </c>
      <c r="B13" s="2" t="s">
        <v>40</v>
      </c>
      <c r="C13" s="11">
        <f>'ก.ย.'!M13</f>
        <v>30000</v>
      </c>
      <c r="D13" s="11">
        <f>'ก.พ.'!N13</f>
        <v>0</v>
      </c>
      <c r="E13" s="11"/>
      <c r="F13" s="11"/>
      <c r="G13" s="11">
        <v>29800</v>
      </c>
      <c r="H13" s="11"/>
      <c r="I13" s="11"/>
      <c r="J13" s="11"/>
      <c r="K13" s="11"/>
      <c r="L13" s="11">
        <v>29800</v>
      </c>
      <c r="M13" s="11">
        <f t="shared" si="0"/>
        <v>30000</v>
      </c>
      <c r="N13" s="11">
        <v>0</v>
      </c>
    </row>
    <row r="14" spans="1:14" ht="23.25">
      <c r="A14" s="1" t="s">
        <v>110</v>
      </c>
      <c r="B14" s="2" t="s">
        <v>40</v>
      </c>
      <c r="C14" s="11">
        <f>'ก.ย.'!M14</f>
        <v>0</v>
      </c>
      <c r="D14" s="11">
        <f>'ก.พ.'!N14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</row>
    <row r="15" spans="1:14" ht="23.25">
      <c r="A15" s="1" t="s">
        <v>52</v>
      </c>
      <c r="B15" s="2" t="s">
        <v>11</v>
      </c>
      <c r="C15" s="11">
        <f>'ก.ย.'!M15</f>
        <v>412731</v>
      </c>
      <c r="D15" s="11">
        <f>'ก.พ.'!N15</f>
        <v>0</v>
      </c>
      <c r="E15" s="11"/>
      <c r="F15" s="11"/>
      <c r="G15" s="11">
        <v>19221</v>
      </c>
      <c r="H15" s="11"/>
      <c r="I15" s="11"/>
      <c r="J15" s="11"/>
      <c r="K15" s="11"/>
      <c r="L15" s="11"/>
      <c r="M15" s="11">
        <f t="shared" si="0"/>
        <v>431952</v>
      </c>
      <c r="N15" s="11">
        <v>0</v>
      </c>
    </row>
    <row r="16" spans="1:14" ht="23.25">
      <c r="A16" s="6" t="s">
        <v>10</v>
      </c>
      <c r="B16" s="7" t="s">
        <v>9</v>
      </c>
      <c r="C16" s="11">
        <f>'ก.พ.'!M16</f>
        <v>1239315</v>
      </c>
      <c r="D16" s="11">
        <f>'ก.พ.'!N16</f>
        <v>0</v>
      </c>
      <c r="E16" s="11"/>
      <c r="F16" s="11"/>
      <c r="G16" s="11">
        <v>191190</v>
      </c>
      <c r="H16" s="11"/>
      <c r="I16" s="11"/>
      <c r="J16" s="11"/>
      <c r="K16" s="11"/>
      <c r="L16" s="11"/>
      <c r="M16" s="11">
        <f t="shared" si="0"/>
        <v>1430505</v>
      </c>
      <c r="N16" s="11">
        <v>0</v>
      </c>
    </row>
    <row r="17" spans="1:14" ht="23.25">
      <c r="A17" s="1" t="s">
        <v>12</v>
      </c>
      <c r="B17" s="2" t="s">
        <v>13</v>
      </c>
      <c r="C17" s="11">
        <f>'ก.พ.'!M17</f>
        <v>0</v>
      </c>
      <c r="D17" s="11">
        <f>'ก.พ.'!N17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f>SUM(D17+F17+H17+J17+L17)-(C17+E17+G17+I17+K17)</f>
        <v>0</v>
      </c>
    </row>
    <row r="18" spans="1:14" ht="23.25">
      <c r="A18" s="1" t="s">
        <v>14</v>
      </c>
      <c r="B18" s="2" t="s">
        <v>15</v>
      </c>
      <c r="C18" s="11">
        <f>'ก.พ.'!M18</f>
        <v>574140</v>
      </c>
      <c r="D18" s="11">
        <f>'ก.พ.'!N18</f>
        <v>0</v>
      </c>
      <c r="E18" s="11"/>
      <c r="F18" s="11"/>
      <c r="G18" s="11">
        <v>160480</v>
      </c>
      <c r="H18" s="11"/>
      <c r="I18" s="11"/>
      <c r="J18" s="11"/>
      <c r="K18" s="11"/>
      <c r="L18" s="11"/>
      <c r="M18" s="11">
        <f t="shared" si="0"/>
        <v>734620</v>
      </c>
      <c r="N18" s="11">
        <v>0</v>
      </c>
    </row>
    <row r="19" spans="1:14" ht="23.25">
      <c r="A19" s="1" t="s">
        <v>16</v>
      </c>
      <c r="B19" s="2" t="s">
        <v>17</v>
      </c>
      <c r="C19" s="11">
        <f>'ก.พ.'!M19</f>
        <v>1420908</v>
      </c>
      <c r="D19" s="11">
        <f>'ก.พ.'!N19</f>
        <v>0</v>
      </c>
      <c r="E19" s="11"/>
      <c r="F19" s="11"/>
      <c r="G19" s="11">
        <v>285310</v>
      </c>
      <c r="H19" s="11"/>
      <c r="I19" s="11"/>
      <c r="J19" s="11"/>
      <c r="K19" s="11"/>
      <c r="L19" s="11"/>
      <c r="M19" s="11">
        <f t="shared" si="0"/>
        <v>1706218</v>
      </c>
      <c r="N19" s="11">
        <v>0</v>
      </c>
    </row>
    <row r="20" spans="1:14" ht="23.25">
      <c r="A20" s="1" t="s">
        <v>18</v>
      </c>
      <c r="B20" s="2" t="s">
        <v>19</v>
      </c>
      <c r="C20" s="11">
        <f>'ก.พ.'!M20</f>
        <v>1427472.36</v>
      </c>
      <c r="D20" s="11">
        <f>'ก.พ.'!N20</f>
        <v>0</v>
      </c>
      <c r="E20" s="11"/>
      <c r="F20" s="11">
        <v>4000</v>
      </c>
      <c r="G20" s="11">
        <v>114059</v>
      </c>
      <c r="H20" s="11"/>
      <c r="I20" s="11"/>
      <c r="J20" s="11"/>
      <c r="K20" s="11">
        <f>L13</f>
        <v>29800</v>
      </c>
      <c r="L20" s="11"/>
      <c r="M20" s="11">
        <f t="shared" si="0"/>
        <v>1567331.36</v>
      </c>
      <c r="N20" s="11">
        <v>0</v>
      </c>
    </row>
    <row r="21" spans="1:14" ht="23.25">
      <c r="A21" s="1" t="s">
        <v>20</v>
      </c>
      <c r="B21" s="2" t="s">
        <v>21</v>
      </c>
      <c r="C21" s="11">
        <f>'ก.พ.'!M21</f>
        <v>174489.05</v>
      </c>
      <c r="D21" s="11">
        <f>'ก.พ.'!N21</f>
        <v>0</v>
      </c>
      <c r="E21" s="12"/>
      <c r="F21" s="12"/>
      <c r="G21" s="12">
        <v>17310.05</v>
      </c>
      <c r="H21" s="12"/>
      <c r="I21" s="12"/>
      <c r="J21" s="12"/>
      <c r="K21" s="12"/>
      <c r="L21" s="12"/>
      <c r="M21" s="11">
        <f t="shared" si="0"/>
        <v>191799.09999999998</v>
      </c>
      <c r="N21" s="11">
        <v>0</v>
      </c>
    </row>
    <row r="22" spans="1:14" ht="23.25">
      <c r="A22" s="1" t="s">
        <v>22</v>
      </c>
      <c r="B22" s="2" t="s">
        <v>23</v>
      </c>
      <c r="C22" s="11">
        <f>'ก.พ.'!M22</f>
        <v>44086.14</v>
      </c>
      <c r="D22" s="11">
        <f>'ก.พ.'!N22</f>
        <v>0</v>
      </c>
      <c r="E22" s="11"/>
      <c r="F22" s="11"/>
      <c r="G22" s="11">
        <v>10455.75</v>
      </c>
      <c r="H22" s="11"/>
      <c r="I22" s="11"/>
      <c r="J22" s="11"/>
      <c r="K22" s="11"/>
      <c r="L22" s="11"/>
      <c r="M22" s="11">
        <f t="shared" si="0"/>
        <v>54541.89</v>
      </c>
      <c r="N22" s="11">
        <v>0</v>
      </c>
    </row>
    <row r="23" spans="1:14" ht="23.25">
      <c r="A23" s="1" t="s">
        <v>24</v>
      </c>
      <c r="B23" s="2" t="s">
        <v>25</v>
      </c>
      <c r="C23" s="11">
        <f>'ก.พ.'!M23</f>
        <v>2187000</v>
      </c>
      <c r="D23" s="11">
        <f>'ก.พ.'!N23</f>
        <v>0</v>
      </c>
      <c r="E23" s="11"/>
      <c r="F23" s="11"/>
      <c r="G23" s="11">
        <v>203033.46</v>
      </c>
      <c r="H23" s="11"/>
      <c r="I23" s="11"/>
      <c r="J23" s="11"/>
      <c r="K23" s="11"/>
      <c r="L23" s="11"/>
      <c r="M23" s="11">
        <f t="shared" si="0"/>
        <v>2390033.46</v>
      </c>
      <c r="N23" s="11">
        <v>0</v>
      </c>
    </row>
    <row r="24" spans="1:14" ht="23.25">
      <c r="A24" s="1" t="s">
        <v>26</v>
      </c>
      <c r="B24" s="2" t="s">
        <v>27</v>
      </c>
      <c r="C24" s="11">
        <f>'ก.พ.'!M24</f>
        <v>0</v>
      </c>
      <c r="D24" s="11">
        <f>'ก.พ.'!N24</f>
        <v>0</v>
      </c>
      <c r="E24" s="11"/>
      <c r="F24" s="11"/>
      <c r="G24" s="11"/>
      <c r="H24" s="11"/>
      <c r="I24" s="11"/>
      <c r="J24" s="11"/>
      <c r="K24" s="11"/>
      <c r="L24" s="11"/>
      <c r="M24" s="11">
        <f t="shared" si="0"/>
        <v>0</v>
      </c>
      <c r="N24" s="11">
        <v>0</v>
      </c>
    </row>
    <row r="25" spans="1:14" ht="23.25">
      <c r="A25" s="1" t="s">
        <v>28</v>
      </c>
      <c r="B25" s="2" t="s">
        <v>29</v>
      </c>
      <c r="C25" s="11">
        <f>'ก.พ.'!M25</f>
        <v>0</v>
      </c>
      <c r="D25" s="11">
        <f>'ก.พ.'!N25</f>
        <v>0</v>
      </c>
      <c r="E25" s="11"/>
      <c r="F25" s="11"/>
      <c r="G25" s="11">
        <v>728000</v>
      </c>
      <c r="H25" s="11"/>
      <c r="I25" s="11"/>
      <c r="J25" s="11"/>
      <c r="K25" s="11"/>
      <c r="L25" s="11"/>
      <c r="M25" s="11">
        <f t="shared" si="0"/>
        <v>728000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'ก.พ.'!M26</f>
        <v>0</v>
      </c>
      <c r="D26" s="11">
        <f>'ก.พ.'!N26</f>
        <v>0</v>
      </c>
      <c r="E26" s="11"/>
      <c r="F26" s="11"/>
      <c r="G26" s="11">
        <v>0</v>
      </c>
      <c r="H26" s="11"/>
      <c r="I26" s="11"/>
      <c r="J26" s="11"/>
      <c r="K26" s="11"/>
      <c r="L26" s="11"/>
      <c r="M26" s="11">
        <f t="shared" si="0"/>
        <v>0</v>
      </c>
      <c r="N26" s="11">
        <v>0</v>
      </c>
    </row>
    <row r="27" spans="1:14" ht="23.25">
      <c r="A27" s="1" t="s">
        <v>41</v>
      </c>
      <c r="B27" s="2" t="s">
        <v>42</v>
      </c>
      <c r="C27" s="11">
        <f>'ก.พ.'!M27</f>
        <v>0</v>
      </c>
      <c r="D27" s="11">
        <f>'ก.พ.'!N27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f t="shared" si="0"/>
        <v>0</v>
      </c>
      <c r="N27" s="11">
        <v>0</v>
      </c>
    </row>
    <row r="28" spans="1:14" ht="23.25">
      <c r="A28" s="1" t="s">
        <v>44</v>
      </c>
      <c r="B28" s="2" t="s">
        <v>30</v>
      </c>
      <c r="C28" s="11">
        <f>'ก.พ.'!M28</f>
        <v>0</v>
      </c>
      <c r="D28" s="11">
        <f>'ก.พ.'!N28</f>
        <v>2875247.9099999997</v>
      </c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1">
        <f aca="true" t="shared" si="1" ref="N28:N87">SUM(D28+F28+H28+J28+L28)-(C28+E28+G28+I28+K28)</f>
        <v>2875247.9099999997</v>
      </c>
    </row>
    <row r="29" spans="1:14" ht="23.25">
      <c r="A29" s="1" t="s">
        <v>45</v>
      </c>
      <c r="B29" s="2" t="s">
        <v>43</v>
      </c>
      <c r="C29" s="11">
        <f>'ก.พ.'!M29</f>
        <v>0</v>
      </c>
      <c r="D29" s="11">
        <f>'ก.พ.'!N29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53</v>
      </c>
      <c r="B30" s="2" t="s">
        <v>31</v>
      </c>
      <c r="C30" s="11" t="e">
        <f>'ก.พ.'!#REF!</f>
        <v>#REF!</v>
      </c>
      <c r="D30" s="11" t="e">
        <f>'ก.พ.'!#REF!</f>
        <v>#REF!</v>
      </c>
      <c r="E30" s="11"/>
      <c r="F30" s="11"/>
      <c r="G30" s="11"/>
      <c r="H30" s="11"/>
      <c r="I30" s="11"/>
      <c r="J30" s="11"/>
      <c r="K30" s="11"/>
      <c r="L30" s="11"/>
      <c r="M30" s="11">
        <v>0</v>
      </c>
      <c r="N30" s="11" t="e">
        <f t="shared" si="1"/>
        <v>#REF!</v>
      </c>
    </row>
    <row r="31" spans="1:14" ht="23.25">
      <c r="A31" s="1" t="s">
        <v>32</v>
      </c>
      <c r="B31" s="2" t="s">
        <v>33</v>
      </c>
      <c r="C31" s="11">
        <f>'ก.พ.'!M30</f>
        <v>0</v>
      </c>
      <c r="D31" s="11">
        <f>'ก.พ.'!N30</f>
        <v>0</v>
      </c>
      <c r="E31" s="11">
        <v>0</v>
      </c>
      <c r="F31" s="11">
        <v>1391375.65</v>
      </c>
      <c r="G31" s="11"/>
      <c r="H31" s="11"/>
      <c r="I31" s="11">
        <f>1391375.65-1326965.27</f>
        <v>64410.37999999989</v>
      </c>
      <c r="J31" s="11"/>
      <c r="K31" s="11"/>
      <c r="L31" s="11"/>
      <c r="M31" s="11">
        <v>0</v>
      </c>
      <c r="N31" s="11">
        <f t="shared" si="1"/>
        <v>1326965.27</v>
      </c>
    </row>
    <row r="32" spans="1:14" ht="23.25">
      <c r="A32" s="1" t="s">
        <v>35</v>
      </c>
      <c r="B32" s="2" t="s">
        <v>46</v>
      </c>
      <c r="C32" s="11">
        <f>'ก.พ.'!M31</f>
        <v>0</v>
      </c>
      <c r="D32" s="11">
        <f>'ก.พ.'!N31</f>
        <v>0</v>
      </c>
      <c r="E32" s="11"/>
      <c r="F32" s="11"/>
      <c r="G32" s="11"/>
      <c r="H32" s="11"/>
      <c r="I32" s="11"/>
      <c r="J32" s="11"/>
      <c r="K32" s="11"/>
      <c r="L32" s="11"/>
      <c r="M32" s="11"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'ก.พ.'!M33</f>
        <v>0</v>
      </c>
      <c r="D33" s="11">
        <f>'ก.พ.'!N33</f>
        <v>0</v>
      </c>
      <c r="E33" s="11"/>
      <c r="F33" s="11"/>
      <c r="G33" s="11"/>
      <c r="H33" s="11"/>
      <c r="I33" s="11">
        <v>0</v>
      </c>
      <c r="J33" s="11"/>
      <c r="K33" s="11"/>
      <c r="L33" s="11"/>
      <c r="M33" s="11">
        <f t="shared" si="0"/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'ก.พ.'!M34</f>
        <v>0</v>
      </c>
      <c r="D34" s="11">
        <f>'ก.พ.'!N34</f>
        <v>0</v>
      </c>
      <c r="E34" s="11"/>
      <c r="F34" s="11"/>
      <c r="G34" s="11">
        <v>0</v>
      </c>
      <c r="H34" s="11">
        <v>0</v>
      </c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7">
        <v>903</v>
      </c>
      <c r="C35" s="11">
        <f>'ก.พ.'!M35</f>
        <v>0</v>
      </c>
      <c r="D35" s="11">
        <f>'ก.พ.'!N35</f>
        <v>2300.2700000000004</v>
      </c>
      <c r="E35" s="11"/>
      <c r="F35" s="11">
        <v>0</v>
      </c>
      <c r="G35" s="11">
        <v>2602.76</v>
      </c>
      <c r="H35" s="11">
        <v>11134.8</v>
      </c>
      <c r="I35" s="11"/>
      <c r="J35" s="11"/>
      <c r="K35" s="11"/>
      <c r="L35" s="11"/>
      <c r="M35" s="11">
        <f t="shared" si="0"/>
        <v>-10832.31</v>
      </c>
      <c r="N35" s="11">
        <v>0</v>
      </c>
    </row>
    <row r="36" spans="1:14" ht="23.25">
      <c r="A36" s="6" t="s">
        <v>72</v>
      </c>
      <c r="B36" s="2">
        <v>904</v>
      </c>
      <c r="C36" s="11">
        <f>'ก.พ.'!M36</f>
        <v>0</v>
      </c>
      <c r="D36" s="11">
        <f>'ก.พ.'!N36</f>
        <v>454301.5</v>
      </c>
      <c r="E36" s="11"/>
      <c r="F36" s="11">
        <v>21200</v>
      </c>
      <c r="G36" s="11">
        <v>24650</v>
      </c>
      <c r="H36" s="11"/>
      <c r="I36" s="11"/>
      <c r="J36" s="11"/>
      <c r="K36" s="11"/>
      <c r="L36" s="11"/>
      <c r="M36" s="11">
        <v>0</v>
      </c>
      <c r="N36" s="11">
        <f t="shared" si="1"/>
        <v>450851.5</v>
      </c>
    </row>
    <row r="37" spans="1:14" ht="23.25">
      <c r="A37" s="1" t="s">
        <v>73</v>
      </c>
      <c r="B37" s="2" t="s">
        <v>49</v>
      </c>
      <c r="C37" s="11">
        <f>'ก.พ.'!M37</f>
        <v>1690</v>
      </c>
      <c r="D37" s="11">
        <f>'ก.พ.'!N37</f>
        <v>0</v>
      </c>
      <c r="E37" s="11"/>
      <c r="F37" s="11">
        <v>0</v>
      </c>
      <c r="G37" s="11"/>
      <c r="H37" s="11"/>
      <c r="I37" s="11"/>
      <c r="J37" s="11"/>
      <c r="K37" s="11"/>
      <c r="L37" s="11"/>
      <c r="M37" s="11">
        <f t="shared" si="0"/>
        <v>1690</v>
      </c>
      <c r="N37" s="11">
        <f t="shared" si="1"/>
        <v>-1690</v>
      </c>
    </row>
    <row r="38" spans="1:14" ht="23.25">
      <c r="A38" s="1" t="s">
        <v>74</v>
      </c>
      <c r="B38" s="2" t="s">
        <v>50</v>
      </c>
      <c r="C38" s="11">
        <f>'ก.พ.'!M38</f>
        <v>0</v>
      </c>
      <c r="D38" s="11">
        <f>'ก.พ.'!N38</f>
        <v>0</v>
      </c>
      <c r="E38" s="11"/>
      <c r="F38" s="11">
        <v>175</v>
      </c>
      <c r="G38" s="11"/>
      <c r="H38" s="11"/>
      <c r="I38" s="11"/>
      <c r="J38" s="11"/>
      <c r="K38" s="11"/>
      <c r="L38" s="11"/>
      <c r="M38" s="11">
        <v>0</v>
      </c>
      <c r="N38" s="11">
        <f t="shared" si="1"/>
        <v>175</v>
      </c>
    </row>
    <row r="39" spans="1:14" ht="23.25">
      <c r="A39" s="1" t="s">
        <v>75</v>
      </c>
      <c r="B39" s="2">
        <v>900</v>
      </c>
      <c r="C39" s="11">
        <f>'ก.พ.'!M39</f>
        <v>0</v>
      </c>
      <c r="D39" s="11">
        <f>'ก.พ.'!N39</f>
        <v>0</v>
      </c>
      <c r="E39" s="11"/>
      <c r="F39" s="11">
        <v>210</v>
      </c>
      <c r="G39" s="11"/>
      <c r="H39" s="11"/>
      <c r="I39" s="11"/>
      <c r="J39" s="11"/>
      <c r="K39" s="11"/>
      <c r="L39" s="11"/>
      <c r="M39" s="11">
        <v>0</v>
      </c>
      <c r="N39" s="11">
        <f t="shared" si="1"/>
        <v>210</v>
      </c>
    </row>
    <row r="40" spans="1:14" ht="23.25">
      <c r="A40" s="1" t="s">
        <v>54</v>
      </c>
      <c r="B40" s="2">
        <v>900</v>
      </c>
      <c r="C40" s="11">
        <f>'ก.พ.'!M40</f>
        <v>0</v>
      </c>
      <c r="D40" s="11">
        <f>'ก.พ.'!N40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'ก.พ.'!M41</f>
        <v>0</v>
      </c>
      <c r="D41" s="11">
        <f>'ก.พ.'!N41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f t="shared" si="0"/>
        <v>0</v>
      </c>
      <c r="N41" s="11">
        <v>0</v>
      </c>
    </row>
    <row r="42" spans="1:14" ht="23.25">
      <c r="A42" s="1" t="s">
        <v>56</v>
      </c>
      <c r="B42" s="2">
        <v>900</v>
      </c>
      <c r="C42" s="11">
        <f>'ก.พ.'!M42</f>
        <v>0</v>
      </c>
      <c r="D42" s="11">
        <f>'ก.พ.'!N42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'ก.พ.'!M43</f>
        <v>0</v>
      </c>
      <c r="D43" s="11">
        <f>'ก.พ.'!N43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'ก.พ.'!M44</f>
        <v>67560</v>
      </c>
      <c r="D44" s="11">
        <f>'ก.พ.'!N44</f>
        <v>0</v>
      </c>
      <c r="E44" s="11"/>
      <c r="F44" s="11"/>
      <c r="G44" s="11"/>
      <c r="H44" s="11"/>
      <c r="I44" s="11"/>
      <c r="J44" s="11"/>
      <c r="K44" s="11"/>
      <c r="L44" s="11"/>
      <c r="M44" s="11">
        <f t="shared" si="0"/>
        <v>67560</v>
      </c>
      <c r="N44" s="11">
        <f t="shared" si="1"/>
        <v>-67560</v>
      </c>
    </row>
    <row r="45" spans="1:14" ht="23.25">
      <c r="A45" s="6" t="s">
        <v>58</v>
      </c>
      <c r="B45" s="2">
        <v>900</v>
      </c>
      <c r="C45" s="11">
        <f>'ก.พ.'!M45</f>
        <v>16920</v>
      </c>
      <c r="D45" s="11">
        <f>'ก.พ.'!N45</f>
        <v>0</v>
      </c>
      <c r="E45" s="11"/>
      <c r="F45" s="11"/>
      <c r="G45" s="11"/>
      <c r="H45" s="11"/>
      <c r="I45" s="11"/>
      <c r="J45" s="11"/>
      <c r="K45" s="11"/>
      <c r="L45" s="11"/>
      <c r="M45" s="11">
        <f t="shared" si="0"/>
        <v>16920</v>
      </c>
      <c r="N45" s="11">
        <f t="shared" si="1"/>
        <v>-16920</v>
      </c>
    </row>
    <row r="46" spans="1:14" ht="23.25">
      <c r="A46" s="1" t="s">
        <v>139</v>
      </c>
      <c r="B46" s="2">
        <v>900</v>
      </c>
      <c r="C46" s="11">
        <f>'ก.พ.'!M46</f>
        <v>2219</v>
      </c>
      <c r="D46" s="11">
        <f>'ก.พ.'!N46</f>
        <v>0</v>
      </c>
      <c r="E46" s="11"/>
      <c r="F46" s="11"/>
      <c r="G46" s="11"/>
      <c r="H46" s="11"/>
      <c r="I46" s="11"/>
      <c r="J46" s="11"/>
      <c r="K46" s="11"/>
      <c r="L46" s="11"/>
      <c r="M46" s="11">
        <f t="shared" si="0"/>
        <v>2219</v>
      </c>
      <c r="N46" s="11">
        <v>0</v>
      </c>
    </row>
    <row r="47" spans="1:14" ht="23.25">
      <c r="A47" s="1" t="s">
        <v>59</v>
      </c>
      <c r="B47" s="2">
        <v>900</v>
      </c>
      <c r="C47" s="11">
        <f>'ก.พ.'!M47</f>
        <v>0</v>
      </c>
      <c r="D47" s="11">
        <f>'ก.พ.'!N47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'ก.พ.'!M48</f>
        <v>0</v>
      </c>
      <c r="D48" s="11">
        <f>'ก.พ.'!N48</f>
        <v>0</v>
      </c>
      <c r="E48" s="11"/>
      <c r="F48" s="11">
        <v>0</v>
      </c>
      <c r="G48" s="11"/>
      <c r="H48" s="11"/>
      <c r="I48" s="11"/>
      <c r="J48" s="11"/>
      <c r="K48" s="11"/>
      <c r="L48" s="11"/>
      <c r="M48" s="11">
        <v>0</v>
      </c>
      <c r="N48" s="11">
        <f t="shared" si="1"/>
        <v>0</v>
      </c>
    </row>
    <row r="49" spans="1:14" ht="23.25">
      <c r="A49" s="1" t="s">
        <v>61</v>
      </c>
      <c r="B49" s="2" t="s">
        <v>34</v>
      </c>
      <c r="C49" s="11">
        <f>'ก.พ.'!M49</f>
        <v>0</v>
      </c>
      <c r="D49" s="11">
        <f>'ก.พ.'!N49</f>
        <v>924854</v>
      </c>
      <c r="E49" s="11"/>
      <c r="F49" s="11">
        <v>90018</v>
      </c>
      <c r="G49" s="11"/>
      <c r="H49" s="11"/>
      <c r="I49" s="11"/>
      <c r="J49" s="11"/>
      <c r="K49" s="11"/>
      <c r="L49" s="11"/>
      <c r="M49" s="11">
        <v>0</v>
      </c>
      <c r="N49" s="11">
        <f t="shared" si="1"/>
        <v>1014872</v>
      </c>
    </row>
    <row r="50" spans="1:14" ht="23.25">
      <c r="A50" s="1" t="s">
        <v>62</v>
      </c>
      <c r="B50" s="2" t="s">
        <v>34</v>
      </c>
      <c r="C50" s="11">
        <f>'ก.พ.'!M50</f>
        <v>0</v>
      </c>
      <c r="D50" s="11">
        <f>'ก.พ.'!N50</f>
        <v>13174.85</v>
      </c>
      <c r="E50" s="11"/>
      <c r="F50" s="11">
        <v>805.21</v>
      </c>
      <c r="G50" s="11"/>
      <c r="H50" s="11"/>
      <c r="I50" s="11"/>
      <c r="J50" s="11"/>
      <c r="K50" s="11"/>
      <c r="L50" s="11"/>
      <c r="M50" s="11">
        <v>0</v>
      </c>
      <c r="N50" s="11">
        <f t="shared" si="1"/>
        <v>13980.060000000001</v>
      </c>
    </row>
    <row r="51" spans="1:14" ht="23.25">
      <c r="A51" s="1" t="s">
        <v>63</v>
      </c>
      <c r="B51" s="2">
        <v>900</v>
      </c>
      <c r="C51" s="11">
        <f>'ก.พ.'!M51</f>
        <v>0</v>
      </c>
      <c r="D51" s="11">
        <f>'ก.พ.'!N51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v>0</v>
      </c>
      <c r="N51" s="11">
        <f t="shared" si="1"/>
        <v>0</v>
      </c>
    </row>
    <row r="52" spans="1:14" ht="23.25">
      <c r="A52" s="1" t="s">
        <v>64</v>
      </c>
      <c r="B52" s="2">
        <v>900</v>
      </c>
      <c r="C52" s="11">
        <f>'ก.พ.'!M52</f>
        <v>0</v>
      </c>
      <c r="D52" s="11">
        <f>'ก.พ.'!N52</f>
        <v>2000</v>
      </c>
      <c r="E52" s="11"/>
      <c r="F52" s="11"/>
      <c r="G52" s="11"/>
      <c r="H52" s="11"/>
      <c r="I52" s="11"/>
      <c r="J52" s="11"/>
      <c r="K52" s="11"/>
      <c r="L52" s="11"/>
      <c r="M52" s="11">
        <v>0</v>
      </c>
      <c r="N52" s="11">
        <f t="shared" si="1"/>
        <v>2000</v>
      </c>
    </row>
    <row r="53" spans="1:14" ht="23.25">
      <c r="A53" s="1" t="s">
        <v>65</v>
      </c>
      <c r="B53" s="2">
        <v>900</v>
      </c>
      <c r="C53" s="11">
        <f>'ก.พ.'!M53</f>
        <v>0</v>
      </c>
      <c r="D53" s="11">
        <f>'ก.พ.'!N53</f>
        <v>500</v>
      </c>
      <c r="E53" s="11"/>
      <c r="F53" s="11"/>
      <c r="G53" s="11"/>
      <c r="H53" s="11"/>
      <c r="I53" s="11"/>
      <c r="J53" s="11"/>
      <c r="K53" s="11"/>
      <c r="L53" s="11"/>
      <c r="M53" s="11">
        <v>0</v>
      </c>
      <c r="N53" s="11">
        <f t="shared" si="1"/>
        <v>500</v>
      </c>
    </row>
    <row r="54" spans="1:14" ht="23.25">
      <c r="A54" s="1" t="s">
        <v>66</v>
      </c>
      <c r="B54" s="2">
        <v>900</v>
      </c>
      <c r="C54" s="11">
        <f>'ก.พ.'!M54</f>
        <v>0</v>
      </c>
      <c r="D54" s="11">
        <f>'ก.พ.'!N54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f t="shared" si="1"/>
        <v>0</v>
      </c>
    </row>
    <row r="55" spans="1:14" ht="23.25">
      <c r="A55" s="1" t="s">
        <v>138</v>
      </c>
      <c r="B55" s="2">
        <v>900</v>
      </c>
      <c r="C55" s="11">
        <f>'ก.พ.'!M55</f>
        <v>0</v>
      </c>
      <c r="D55" s="11">
        <f>'ก.พ.'!N55</f>
        <v>0</v>
      </c>
      <c r="E55" s="11"/>
      <c r="F55" s="11"/>
      <c r="G55" s="11">
        <v>48358</v>
      </c>
      <c r="H55" s="11"/>
      <c r="I55" s="11"/>
      <c r="J55" s="11"/>
      <c r="K55" s="11"/>
      <c r="L55" s="11"/>
      <c r="M55" s="11">
        <f t="shared" si="0"/>
        <v>48358</v>
      </c>
      <c r="N55" s="11">
        <v>0</v>
      </c>
    </row>
    <row r="56" spans="1:14" ht="23.25">
      <c r="A56" s="1" t="s">
        <v>67</v>
      </c>
      <c r="B56" s="2" t="s">
        <v>34</v>
      </c>
      <c r="C56" s="11">
        <f>'ก.พ.'!M56</f>
        <v>0</v>
      </c>
      <c r="D56" s="11">
        <f>'ก.พ.'!N56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f t="shared" si="0"/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'ก.พ.'!M57</f>
        <v>0</v>
      </c>
      <c r="D57" s="11">
        <f>'ก.พ.'!N57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69</v>
      </c>
      <c r="B58" s="2" t="s">
        <v>34</v>
      </c>
      <c r="C58" s="11">
        <f>'ก.พ.'!M58</f>
        <v>0</v>
      </c>
      <c r="D58" s="11">
        <f>'ก.พ.'!N58</f>
        <v>295</v>
      </c>
      <c r="E58" s="12"/>
      <c r="F58" s="12"/>
      <c r="G58" s="12"/>
      <c r="H58" s="12"/>
      <c r="I58" s="12"/>
      <c r="J58" s="12"/>
      <c r="K58" s="12"/>
      <c r="L58" s="12"/>
      <c r="M58" s="11">
        <f t="shared" si="0"/>
        <v>-295</v>
      </c>
      <c r="N58" s="11">
        <f t="shared" si="1"/>
        <v>295</v>
      </c>
    </row>
    <row r="59" spans="1:14" ht="23.25">
      <c r="A59" s="1" t="s">
        <v>70</v>
      </c>
      <c r="B59" s="2" t="s">
        <v>34</v>
      </c>
      <c r="C59" s="11">
        <f>'ก.พ.'!M59</f>
        <v>0</v>
      </c>
      <c r="D59" s="11">
        <f>'ก.พ.'!N59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'ก.พ.'!M60</f>
        <v>0</v>
      </c>
      <c r="D60" s="11">
        <f>'ก.พ.'!N60</f>
        <v>0</v>
      </c>
      <c r="E60" s="11"/>
      <c r="F60" s="11">
        <v>0</v>
      </c>
      <c r="G60" s="11">
        <v>0</v>
      </c>
      <c r="H60" s="11"/>
      <c r="I60" s="11"/>
      <c r="J60" s="11">
        <v>0</v>
      </c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34</v>
      </c>
      <c r="C61" s="11">
        <f>'ก.พ.'!M61</f>
        <v>0</v>
      </c>
      <c r="D61" s="11">
        <f>'ก.พ.'!N61</f>
        <v>4364.44</v>
      </c>
      <c r="E61" s="11"/>
      <c r="F61" s="11">
        <v>712478.5</v>
      </c>
      <c r="G61" s="11">
        <v>719200</v>
      </c>
      <c r="H61" s="11"/>
      <c r="I61" s="11">
        <v>0</v>
      </c>
      <c r="J61" s="11">
        <v>0</v>
      </c>
      <c r="K61" s="11"/>
      <c r="L61" s="11"/>
      <c r="M61" s="11">
        <f t="shared" si="0"/>
        <v>2357.060000000056</v>
      </c>
      <c r="N61" s="11">
        <v>0</v>
      </c>
    </row>
    <row r="62" spans="1:14" ht="23.25">
      <c r="A62" s="1" t="s">
        <v>135</v>
      </c>
      <c r="B62" s="2" t="s">
        <v>34</v>
      </c>
      <c r="C62" s="11">
        <f>'ก.พ.'!M62</f>
        <v>0</v>
      </c>
      <c r="D62" s="11">
        <f>'ก.พ.'!N62</f>
        <v>0</v>
      </c>
      <c r="E62" s="11"/>
      <c r="F62" s="11"/>
      <c r="G62" s="11"/>
      <c r="H62" s="11"/>
      <c r="I62" s="11"/>
      <c r="J62" s="11"/>
      <c r="K62" s="11"/>
      <c r="L62" s="11"/>
      <c r="M62" s="11">
        <f t="shared" si="0"/>
        <v>0</v>
      </c>
      <c r="N62" s="11">
        <f t="shared" si="1"/>
        <v>0</v>
      </c>
    </row>
    <row r="63" spans="1:14" ht="23.25">
      <c r="A63" s="1" t="s">
        <v>71</v>
      </c>
      <c r="B63" s="2" t="s">
        <v>34</v>
      </c>
      <c r="C63" s="11">
        <f>'ก.พ.'!M63</f>
        <v>0</v>
      </c>
      <c r="D63" s="11">
        <f>'ก.พ.'!N63</f>
        <v>103898</v>
      </c>
      <c r="E63" s="11"/>
      <c r="F63" s="11"/>
      <c r="G63" s="11"/>
      <c r="H63" s="11"/>
      <c r="I63" s="11"/>
      <c r="J63" s="11"/>
      <c r="K63" s="11"/>
      <c r="L63" s="11"/>
      <c r="M63" s="11">
        <f t="shared" si="0"/>
        <v>-103898</v>
      </c>
      <c r="N63" s="11">
        <f t="shared" si="1"/>
        <v>103898</v>
      </c>
    </row>
    <row r="64" spans="1:14" ht="23.25">
      <c r="A64" s="1" t="s">
        <v>108</v>
      </c>
      <c r="B64" s="2" t="s">
        <v>34</v>
      </c>
      <c r="C64" s="11">
        <f>'ก.พ.'!M64</f>
        <v>0</v>
      </c>
      <c r="D64" s="11">
        <f>'ก.พ.'!N64</f>
        <v>317500</v>
      </c>
      <c r="E64" s="11"/>
      <c r="F64" s="11"/>
      <c r="G64" s="11"/>
      <c r="H64" s="11"/>
      <c r="I64" s="11"/>
      <c r="J64" s="11"/>
      <c r="K64" s="11"/>
      <c r="L64" s="11"/>
      <c r="M64" s="11">
        <f t="shared" si="0"/>
        <v>-317500</v>
      </c>
      <c r="N64" s="11">
        <f t="shared" si="1"/>
        <v>317500</v>
      </c>
    </row>
    <row r="65" spans="1:14" ht="23.25">
      <c r="A65" s="1" t="s">
        <v>109</v>
      </c>
      <c r="B65" s="2" t="s">
        <v>34</v>
      </c>
      <c r="C65" s="11">
        <f>'ก.พ.'!M65</f>
        <v>0</v>
      </c>
      <c r="D65" s="11">
        <f>'ก.พ.'!N65</f>
        <v>0</v>
      </c>
      <c r="E65" s="11"/>
      <c r="F65" s="11"/>
      <c r="G65" s="11">
        <v>0</v>
      </c>
      <c r="H65" s="11">
        <v>0</v>
      </c>
      <c r="I65" s="11"/>
      <c r="J65" s="11"/>
      <c r="K65" s="11"/>
      <c r="L65" s="11"/>
      <c r="M65" s="11">
        <f t="shared" si="0"/>
        <v>0</v>
      </c>
      <c r="N65" s="11">
        <v>0</v>
      </c>
    </row>
    <row r="66" spans="1:14" ht="23.25">
      <c r="A66" s="1" t="s">
        <v>119</v>
      </c>
      <c r="B66" s="2" t="s">
        <v>34</v>
      </c>
      <c r="C66" s="11">
        <f>'ก.พ.'!M66</f>
        <v>0</v>
      </c>
      <c r="D66" s="11">
        <f>'ก.พ.'!N66</f>
        <v>0</v>
      </c>
      <c r="E66" s="11"/>
      <c r="F66" s="11"/>
      <c r="G66" s="11">
        <v>6500</v>
      </c>
      <c r="H66" s="11">
        <v>6500</v>
      </c>
      <c r="I66" s="11"/>
      <c r="J66" s="11"/>
      <c r="K66" s="11"/>
      <c r="L66" s="11"/>
      <c r="M66" s="11">
        <v>0</v>
      </c>
      <c r="N66" s="11">
        <f t="shared" si="1"/>
        <v>0</v>
      </c>
    </row>
    <row r="67" spans="1:14" ht="23.25">
      <c r="A67" s="1" t="s">
        <v>120</v>
      </c>
      <c r="B67" s="2" t="s">
        <v>34</v>
      </c>
      <c r="C67" s="11">
        <f>'ก.พ.'!M67</f>
        <v>0</v>
      </c>
      <c r="D67" s="11">
        <f>'ก.พ.'!N67</f>
        <v>0</v>
      </c>
      <c r="E67" s="11"/>
      <c r="F67" s="11"/>
      <c r="G67" s="11">
        <v>0</v>
      </c>
      <c r="H67" s="11">
        <v>0</v>
      </c>
      <c r="I67" s="11"/>
      <c r="J67" s="11"/>
      <c r="K67" s="11"/>
      <c r="L67" s="11"/>
      <c r="M67" s="11">
        <f t="shared" si="0"/>
        <v>0</v>
      </c>
      <c r="N67" s="11">
        <v>0</v>
      </c>
    </row>
    <row r="68" spans="1:14" ht="23.25">
      <c r="A68" s="1" t="s">
        <v>121</v>
      </c>
      <c r="B68" s="40" t="s">
        <v>79</v>
      </c>
      <c r="C68" s="11">
        <f>'ก.พ.'!M68</f>
        <v>0</v>
      </c>
      <c r="D68" s="11">
        <f>'ก.พ.'!N68</f>
        <v>0</v>
      </c>
      <c r="E68" s="11"/>
      <c r="F68" s="11"/>
      <c r="G68" s="11">
        <v>35465</v>
      </c>
      <c r="H68" s="11">
        <v>35465</v>
      </c>
      <c r="I68" s="11"/>
      <c r="J68" s="11">
        <v>0</v>
      </c>
      <c r="K68" s="11"/>
      <c r="L68" s="11"/>
      <c r="M68" s="11">
        <v>0</v>
      </c>
      <c r="N68" s="11">
        <f t="shared" si="1"/>
        <v>0</v>
      </c>
    </row>
    <row r="69" spans="1:14" ht="23.25">
      <c r="A69" s="51" t="s">
        <v>94</v>
      </c>
      <c r="B69" s="40" t="s">
        <v>80</v>
      </c>
      <c r="C69" s="11">
        <f>'ก.พ.'!M69</f>
        <v>0</v>
      </c>
      <c r="D69" s="11">
        <f>'ก.พ.'!N69</f>
        <v>19100</v>
      </c>
      <c r="E69" s="11"/>
      <c r="F69" s="11"/>
      <c r="G69" s="11"/>
      <c r="H69" s="11"/>
      <c r="I69" s="11"/>
      <c r="J69" s="11">
        <v>3115</v>
      </c>
      <c r="K69" s="11"/>
      <c r="L69" s="11"/>
      <c r="M69" s="11">
        <v>0</v>
      </c>
      <c r="N69" s="11">
        <f t="shared" si="1"/>
        <v>22215</v>
      </c>
    </row>
    <row r="70" spans="1:14" ht="23.25">
      <c r="A70" s="51" t="s">
        <v>95</v>
      </c>
      <c r="B70" s="40" t="s">
        <v>81</v>
      </c>
      <c r="C70" s="11">
        <f>'ก.พ.'!M70</f>
        <v>0</v>
      </c>
      <c r="D70" s="11">
        <f>'ก.พ.'!N70</f>
        <v>0</v>
      </c>
      <c r="E70" s="11"/>
      <c r="F70" s="11"/>
      <c r="G70" s="11"/>
      <c r="H70" s="11"/>
      <c r="I70" s="11"/>
      <c r="J70" s="11">
        <v>10000</v>
      </c>
      <c r="K70" s="11"/>
      <c r="L70" s="11"/>
      <c r="M70" s="11">
        <v>0</v>
      </c>
      <c r="N70" s="11">
        <f t="shared" si="1"/>
        <v>10000</v>
      </c>
    </row>
    <row r="71" spans="1:14" ht="23.25">
      <c r="A71" s="51" t="s">
        <v>96</v>
      </c>
      <c r="B71" s="40" t="s">
        <v>82</v>
      </c>
      <c r="C71" s="11">
        <f>'ก.พ.'!M71</f>
        <v>0</v>
      </c>
      <c r="D71" s="11">
        <f>'ก.พ.'!N71</f>
        <v>5853</v>
      </c>
      <c r="E71" s="11"/>
      <c r="F71" s="11"/>
      <c r="G71" s="11"/>
      <c r="H71" s="11"/>
      <c r="I71" s="11"/>
      <c r="J71" s="11">
        <v>2494</v>
      </c>
      <c r="K71" s="11"/>
      <c r="L71" s="11"/>
      <c r="M71" s="11">
        <v>0</v>
      </c>
      <c r="N71" s="11">
        <f t="shared" si="1"/>
        <v>8347</v>
      </c>
    </row>
    <row r="72" spans="1:14" ht="23.25">
      <c r="A72" s="51" t="s">
        <v>122</v>
      </c>
      <c r="B72" s="40" t="s">
        <v>83</v>
      </c>
      <c r="C72" s="11">
        <f>'ก.พ.'!M72</f>
        <v>0</v>
      </c>
      <c r="D72" s="11">
        <f>'ก.พ.'!N72</f>
        <v>21210</v>
      </c>
      <c r="E72" s="11"/>
      <c r="F72" s="11"/>
      <c r="G72" s="11"/>
      <c r="H72" s="11"/>
      <c r="I72" s="11"/>
      <c r="J72" s="11">
        <v>2600</v>
      </c>
      <c r="K72" s="11"/>
      <c r="L72" s="11"/>
      <c r="M72" s="11">
        <v>0</v>
      </c>
      <c r="N72" s="11">
        <f t="shared" si="1"/>
        <v>23810</v>
      </c>
    </row>
    <row r="73" spans="1:14" ht="23.25">
      <c r="A73" s="51" t="s">
        <v>97</v>
      </c>
      <c r="B73" s="40" t="s">
        <v>84</v>
      </c>
      <c r="C73" s="11">
        <f>'ก.พ.'!M73</f>
        <v>0</v>
      </c>
      <c r="D73" s="11">
        <f>'ก.พ.'!N73</f>
        <v>1540188.6099999999</v>
      </c>
      <c r="E73" s="11"/>
      <c r="F73" s="11"/>
      <c r="G73" s="11"/>
      <c r="H73" s="11"/>
      <c r="I73" s="11"/>
      <c r="J73" s="11">
        <v>0</v>
      </c>
      <c r="K73" s="11"/>
      <c r="L73" s="11"/>
      <c r="M73" s="11">
        <v>0</v>
      </c>
      <c r="N73" s="11">
        <f t="shared" si="1"/>
        <v>1540188.6099999999</v>
      </c>
    </row>
    <row r="74" spans="1:14" ht="23.25">
      <c r="A74" s="51" t="s">
        <v>125</v>
      </c>
      <c r="B74" s="40" t="s">
        <v>85</v>
      </c>
      <c r="C74" s="11">
        <f>'ก.พ.'!M74</f>
        <v>0</v>
      </c>
      <c r="D74" s="11">
        <f>'ก.พ.'!N74</f>
        <v>658238.73</v>
      </c>
      <c r="E74" s="11"/>
      <c r="F74" s="11"/>
      <c r="G74" s="11"/>
      <c r="H74" s="11"/>
      <c r="I74" s="11"/>
      <c r="J74" s="11">
        <v>0</v>
      </c>
      <c r="K74" s="11"/>
      <c r="L74" s="11"/>
      <c r="M74" s="11">
        <v>0</v>
      </c>
      <c r="N74" s="11">
        <f t="shared" si="1"/>
        <v>658238.73</v>
      </c>
    </row>
    <row r="75" spans="1:14" ht="23.25">
      <c r="A75" s="51" t="s">
        <v>123</v>
      </c>
      <c r="B75" s="40" t="s">
        <v>86</v>
      </c>
      <c r="C75" s="11">
        <f>'ก.พ.'!M75</f>
        <v>0</v>
      </c>
      <c r="D75" s="11">
        <f>'ก.พ.'!N75</f>
        <v>58140</v>
      </c>
      <c r="E75" s="11"/>
      <c r="F75" s="11"/>
      <c r="G75" s="11"/>
      <c r="H75" s="11"/>
      <c r="I75" s="11"/>
      <c r="J75" s="11">
        <v>13284</v>
      </c>
      <c r="K75" s="11"/>
      <c r="L75" s="11"/>
      <c r="M75" s="11">
        <v>0</v>
      </c>
      <c r="N75" s="11">
        <f t="shared" si="1"/>
        <v>71424</v>
      </c>
    </row>
    <row r="76" spans="1:14" ht="23.25">
      <c r="A76" s="51" t="s">
        <v>98</v>
      </c>
      <c r="B76" s="40" t="s">
        <v>87</v>
      </c>
      <c r="C76" s="11">
        <f>'ก.พ.'!M76</f>
        <v>0</v>
      </c>
      <c r="D76" s="11">
        <f>'ก.พ.'!N76</f>
        <v>365645.28</v>
      </c>
      <c r="E76" s="11"/>
      <c r="F76" s="11"/>
      <c r="G76" s="11"/>
      <c r="H76" s="11"/>
      <c r="I76" s="11"/>
      <c r="J76" s="11">
        <v>0</v>
      </c>
      <c r="K76" s="11"/>
      <c r="L76" s="11"/>
      <c r="M76" s="11">
        <v>0</v>
      </c>
      <c r="N76" s="11">
        <f t="shared" si="1"/>
        <v>365645.28</v>
      </c>
    </row>
    <row r="77" spans="1:14" ht="23.25">
      <c r="A77" s="51" t="s">
        <v>99</v>
      </c>
      <c r="B77" s="40" t="s">
        <v>88</v>
      </c>
      <c r="C77" s="11">
        <f>'ก.พ.'!M77</f>
        <v>0</v>
      </c>
      <c r="D77" s="11">
        <f>'ก.พ.'!N77</f>
        <v>972195.55</v>
      </c>
      <c r="E77" s="11"/>
      <c r="F77" s="11"/>
      <c r="G77" s="11"/>
      <c r="H77" s="11"/>
      <c r="I77" s="11"/>
      <c r="J77" s="11">
        <v>0</v>
      </c>
      <c r="K77" s="11"/>
      <c r="L77" s="11"/>
      <c r="M77" s="11">
        <v>0</v>
      </c>
      <c r="N77" s="11">
        <f t="shared" si="1"/>
        <v>972195.55</v>
      </c>
    </row>
    <row r="78" spans="1:14" ht="23.25">
      <c r="A78" s="51" t="s">
        <v>100</v>
      </c>
      <c r="B78" s="40" t="s">
        <v>89</v>
      </c>
      <c r="C78" s="11">
        <f>'ก.พ.'!M78</f>
        <v>0</v>
      </c>
      <c r="D78" s="11">
        <f>'ก.พ.'!N78</f>
        <v>7068.06</v>
      </c>
      <c r="E78" s="11"/>
      <c r="F78" s="11"/>
      <c r="G78" s="11"/>
      <c r="H78" s="11"/>
      <c r="I78" s="11"/>
      <c r="J78" s="11">
        <v>0</v>
      </c>
      <c r="K78" s="11"/>
      <c r="L78" s="11"/>
      <c r="M78" s="11">
        <v>0</v>
      </c>
      <c r="N78" s="11">
        <f t="shared" si="1"/>
        <v>7068.06</v>
      </c>
    </row>
    <row r="79" spans="1:14" ht="23.25">
      <c r="A79" s="51" t="s">
        <v>101</v>
      </c>
      <c r="B79" s="40"/>
      <c r="C79" s="11">
        <f>'ก.พ.'!M80</f>
        <v>0</v>
      </c>
      <c r="D79" s="11">
        <f>'ก.พ.'!N80</f>
        <v>2.91</v>
      </c>
      <c r="E79" s="39"/>
      <c r="F79" s="39"/>
      <c r="G79" s="11"/>
      <c r="H79" s="11"/>
      <c r="I79" s="11"/>
      <c r="J79" s="11"/>
      <c r="K79" s="11"/>
      <c r="L79" s="11"/>
      <c r="M79" s="11">
        <v>0</v>
      </c>
      <c r="N79" s="11">
        <f t="shared" si="1"/>
        <v>2.91</v>
      </c>
    </row>
    <row r="80" spans="1:14" ht="23.25">
      <c r="A80" s="51" t="s">
        <v>124</v>
      </c>
      <c r="B80" s="40" t="s">
        <v>90</v>
      </c>
      <c r="C80" s="11">
        <f>'ก.พ.'!M81</f>
        <v>0</v>
      </c>
      <c r="D80" s="11">
        <f>'ก.พ.'!N81</f>
        <v>131020</v>
      </c>
      <c r="E80" s="39"/>
      <c r="F80" s="39"/>
      <c r="G80" s="11"/>
      <c r="H80" s="11"/>
      <c r="I80" s="11"/>
      <c r="J80" s="11">
        <v>0</v>
      </c>
      <c r="K80" s="11"/>
      <c r="L80" s="11"/>
      <c r="M80" s="11">
        <v>0</v>
      </c>
      <c r="N80" s="11">
        <f t="shared" si="1"/>
        <v>131020</v>
      </c>
    </row>
    <row r="81" spans="1:14" ht="23.25">
      <c r="A81" s="51" t="s">
        <v>132</v>
      </c>
      <c r="B81" s="40" t="s">
        <v>91</v>
      </c>
      <c r="C81" s="11">
        <f>'ก.พ.'!M82</f>
        <v>0</v>
      </c>
      <c r="D81" s="11">
        <f>'ก.พ.'!N82</f>
        <v>5000</v>
      </c>
      <c r="E81" s="39"/>
      <c r="F81" s="39"/>
      <c r="G81" s="11"/>
      <c r="H81" s="11"/>
      <c r="I81" s="11"/>
      <c r="J81" s="11">
        <v>0</v>
      </c>
      <c r="K81" s="11"/>
      <c r="L81" s="11"/>
      <c r="M81" s="11">
        <v>0</v>
      </c>
      <c r="N81" s="11">
        <f t="shared" si="1"/>
        <v>5000</v>
      </c>
    </row>
    <row r="82" spans="1:14" ht="23.25">
      <c r="A82" s="51" t="s">
        <v>102</v>
      </c>
      <c r="B82" s="40" t="s">
        <v>92</v>
      </c>
      <c r="C82" s="11">
        <f>'ก.พ.'!M83</f>
        <v>0</v>
      </c>
      <c r="D82" s="11">
        <f>'ก.พ.'!N83</f>
        <v>2743.22</v>
      </c>
      <c r="E82" s="39"/>
      <c r="F82" s="39"/>
      <c r="G82" s="11"/>
      <c r="H82" s="11"/>
      <c r="I82" s="11"/>
      <c r="J82" s="11">
        <v>25417.38</v>
      </c>
      <c r="K82" s="11"/>
      <c r="L82" s="11"/>
      <c r="M82" s="11">
        <v>0</v>
      </c>
      <c r="N82" s="11">
        <f t="shared" si="1"/>
        <v>28160.600000000002</v>
      </c>
    </row>
    <row r="83" spans="1:14" ht="23.25">
      <c r="A83" s="51" t="s">
        <v>103</v>
      </c>
      <c r="B83" s="40" t="s">
        <v>93</v>
      </c>
      <c r="C83" s="11">
        <f>'ก.พ.'!M84</f>
        <v>0</v>
      </c>
      <c r="D83" s="11">
        <f>'ก.พ.'!N84</f>
        <v>28000</v>
      </c>
      <c r="E83" s="39"/>
      <c r="F83" s="39"/>
      <c r="G83" s="11"/>
      <c r="H83" s="11"/>
      <c r="I83" s="11"/>
      <c r="J83" s="11">
        <v>6500</v>
      </c>
      <c r="K83" s="11"/>
      <c r="L83" s="11"/>
      <c r="M83" s="11">
        <v>0</v>
      </c>
      <c r="N83" s="11">
        <f t="shared" si="1"/>
        <v>34500</v>
      </c>
    </row>
    <row r="84" spans="1:14" ht="23.25">
      <c r="A84" s="51" t="s">
        <v>104</v>
      </c>
      <c r="B84" s="40" t="s">
        <v>112</v>
      </c>
      <c r="C84" s="11">
        <f>'ก.พ.'!M85</f>
        <v>0</v>
      </c>
      <c r="D84" s="11">
        <f>'ก.พ.'!N85</f>
        <v>8890</v>
      </c>
      <c r="E84" s="39"/>
      <c r="F84" s="39"/>
      <c r="G84" s="11"/>
      <c r="H84" s="11"/>
      <c r="I84" s="11"/>
      <c r="J84" s="11">
        <v>1000</v>
      </c>
      <c r="K84" s="11"/>
      <c r="L84" s="11"/>
      <c r="M84" s="11">
        <v>0</v>
      </c>
      <c r="N84" s="11">
        <f t="shared" si="1"/>
        <v>9890</v>
      </c>
    </row>
    <row r="85" spans="1:14" ht="23.25">
      <c r="A85" s="51" t="s">
        <v>105</v>
      </c>
      <c r="B85" s="53"/>
      <c r="C85" s="11">
        <f>'ก.พ.'!M86</f>
        <v>0</v>
      </c>
      <c r="D85" s="11">
        <f>'ก.พ.'!N86</f>
        <v>10264971</v>
      </c>
      <c r="E85" s="39"/>
      <c r="F85" s="39"/>
      <c r="G85" s="39"/>
      <c r="H85" s="39"/>
      <c r="I85" s="39"/>
      <c r="J85" s="39"/>
      <c r="K85" s="39"/>
      <c r="L85" s="39"/>
      <c r="M85" s="11">
        <v>0</v>
      </c>
      <c r="N85" s="11">
        <f t="shared" si="1"/>
        <v>10264971</v>
      </c>
    </row>
    <row r="86" spans="1:14" ht="23.25">
      <c r="A86" s="1" t="s">
        <v>106</v>
      </c>
      <c r="B86" s="53"/>
      <c r="C86" s="11">
        <f>'ก.พ.'!M87</f>
        <v>0</v>
      </c>
      <c r="D86" s="11">
        <f>'ก.พ.'!N87</f>
        <v>53000</v>
      </c>
      <c r="E86" s="39"/>
      <c r="F86" s="39"/>
      <c r="G86" s="39"/>
      <c r="H86" s="39"/>
      <c r="I86" s="39"/>
      <c r="J86" s="39"/>
      <c r="K86" s="39"/>
      <c r="L86" s="39"/>
      <c r="M86" s="11">
        <v>0</v>
      </c>
      <c r="N86" s="11">
        <f t="shared" si="1"/>
        <v>53000</v>
      </c>
    </row>
    <row r="87" spans="1:14" ht="23.25">
      <c r="A87" s="51" t="s">
        <v>140</v>
      </c>
      <c r="B87" s="8"/>
      <c r="C87" s="39">
        <f>'ก.พ.'!M89</f>
        <v>0</v>
      </c>
      <c r="D87" s="39">
        <f>'ก.พ.'!N89</f>
        <v>0</v>
      </c>
      <c r="E87" s="13"/>
      <c r="F87" s="13"/>
      <c r="G87" s="13"/>
      <c r="H87" s="13"/>
      <c r="I87" s="13"/>
      <c r="J87" s="13"/>
      <c r="K87" s="13"/>
      <c r="L87" s="13"/>
      <c r="M87" s="39">
        <f>SUM(C87+E87+G87+I87+K87)-(D87+F87+H87+J87+L87)</f>
        <v>0</v>
      </c>
      <c r="N87" s="11">
        <f t="shared" si="1"/>
        <v>0</v>
      </c>
    </row>
    <row r="88" spans="1:14" ht="24" thickBot="1">
      <c r="A88" s="3"/>
      <c r="B88" s="4"/>
      <c r="C88" s="42" t="e">
        <f>SUM(C6:C87)</f>
        <v>#REF!</v>
      </c>
      <c r="D88" s="42" t="e">
        <f aca="true" t="shared" si="2" ref="D88:N88">SUM(D6:D87)</f>
        <v>#REF!</v>
      </c>
      <c r="E88" s="14">
        <f t="shared" si="2"/>
        <v>2220262.36</v>
      </c>
      <c r="F88" s="14">
        <f t="shared" si="2"/>
        <v>2220262.36</v>
      </c>
      <c r="G88" s="14">
        <f t="shared" si="2"/>
        <v>2595635.02</v>
      </c>
      <c r="H88" s="14">
        <f t="shared" si="2"/>
        <v>2595635.02</v>
      </c>
      <c r="I88" s="14">
        <f t="shared" si="2"/>
        <v>64410.37999999989</v>
      </c>
      <c r="J88" s="14">
        <f t="shared" si="2"/>
        <v>64410.380000000005</v>
      </c>
      <c r="K88" s="14">
        <f t="shared" si="2"/>
        <v>2976687.3400000003</v>
      </c>
      <c r="L88" s="14">
        <f t="shared" si="2"/>
        <v>2976687.3400000003</v>
      </c>
      <c r="M88" s="42">
        <f t="shared" si="2"/>
        <v>20504399.450000003</v>
      </c>
      <c r="N88" s="42" t="e">
        <f t="shared" si="2"/>
        <v>#REF!</v>
      </c>
    </row>
    <row r="89" spans="1:14" ht="24" thickTop="1">
      <c r="A89" s="3"/>
      <c r="B89" s="4"/>
      <c r="C89" s="15"/>
      <c r="D89" s="15" t="e">
        <f>C88-D88</f>
        <v>#REF!</v>
      </c>
      <c r="E89" s="15"/>
      <c r="F89" s="15">
        <f>E88-F88</f>
        <v>0</v>
      </c>
      <c r="G89" s="15"/>
      <c r="H89" s="15">
        <f>G88-H88</f>
        <v>0</v>
      </c>
      <c r="I89" s="15"/>
      <c r="J89" s="15">
        <f>I88-J88</f>
        <v>-1.1641532182693481E-10</v>
      </c>
      <c r="K89" s="15"/>
      <c r="L89" s="15">
        <f>K88-L88</f>
        <v>0</v>
      </c>
      <c r="M89" s="15"/>
      <c r="N89" s="15" t="e">
        <f>M88-N88</f>
        <v>#REF!</v>
      </c>
    </row>
    <row r="90" spans="1:14" ht="23.25">
      <c r="A90" s="3"/>
      <c r="B90" s="4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23.25">
      <c r="A91" s="3"/>
      <c r="B91" s="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23.25">
      <c r="A92" s="3"/>
      <c r="B92" s="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23.25">
      <c r="A93" s="3"/>
      <c r="B93" s="4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23.25">
      <c r="A94" s="3"/>
      <c r="B94" s="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23.25">
      <c r="A95" s="3"/>
      <c r="B95" s="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23.25">
      <c r="A96" s="3"/>
      <c r="B96" s="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23.25">
      <c r="A97" s="3"/>
      <c r="B97" s="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23.25">
      <c r="A98" s="3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3.25">
      <c r="A99" s="3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3.25">
      <c r="A100" s="3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3.25">
      <c r="A101" s="3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3.25">
      <c r="A102" s="3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</sheetData>
  <sheetProtection/>
  <mergeCells count="9">
    <mergeCell ref="A1:N1"/>
    <mergeCell ref="A2:N2"/>
    <mergeCell ref="A4:A5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95"/>
  <sheetViews>
    <sheetView zoomScalePageLayoutView="0" workbookViewId="0" topLeftCell="A1">
      <pane xSplit="2" ySplit="5" topLeftCell="K8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7" sqref="A87:B91"/>
    </sheetView>
  </sheetViews>
  <sheetFormatPr defaultColWidth="9.140625" defaultRowHeight="12.75"/>
  <cols>
    <col min="1" max="1" width="52.421875" style="0" customWidth="1"/>
    <col min="3" max="7" width="13.140625" style="0" customWidth="1"/>
    <col min="8" max="8" width="12.140625" style="0" customWidth="1"/>
    <col min="9" max="14" width="13.140625" style="0" customWidth="1"/>
    <col min="15" max="15" width="11.28125" style="0" bestFit="1" customWidth="1"/>
    <col min="16" max="16" width="14.00390625" style="0" bestFit="1" customWidth="1"/>
    <col min="17" max="17" width="12.8515625" style="0" bestFit="1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5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23.25">
      <c r="A4" s="307" t="s">
        <v>0</v>
      </c>
      <c r="B4" s="30" t="s">
        <v>77</v>
      </c>
      <c r="C4" s="305" t="s">
        <v>283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O4" s="5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O5" s="5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35" ht="23.25">
      <c r="A6" s="6" t="s">
        <v>51</v>
      </c>
      <c r="B6" s="7" t="s">
        <v>5</v>
      </c>
      <c r="C6" s="32">
        <f>'ต.ค.'!M6</f>
        <v>0</v>
      </c>
      <c r="D6" s="32">
        <f>'ต.ค.'!N6</f>
        <v>0</v>
      </c>
      <c r="E6" s="10"/>
      <c r="F6" s="10"/>
      <c r="G6" s="10"/>
      <c r="H6" s="10"/>
      <c r="I6" s="10"/>
      <c r="J6" s="10"/>
      <c r="K6" s="10"/>
      <c r="L6" s="10"/>
      <c r="M6" s="11">
        <f aca="true" t="shared" si="0" ref="M6:M68">SUM(C6+E6+G6+I6+K6)-(D6+F6+H6+J6+L6)</f>
        <v>0</v>
      </c>
      <c r="N6" s="11">
        <v>0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</row>
    <row r="7" spans="1:35" ht="23.25">
      <c r="A7" s="1" t="s">
        <v>116</v>
      </c>
      <c r="B7" s="2" t="s">
        <v>6</v>
      </c>
      <c r="C7" s="11">
        <f>'ต.ค.'!M7</f>
        <v>376321.73999999993</v>
      </c>
      <c r="D7" s="11">
        <f>'ต.ค.'!N7</f>
        <v>0</v>
      </c>
      <c r="E7" s="12">
        <v>0</v>
      </c>
      <c r="F7" s="12">
        <v>376321.74</v>
      </c>
      <c r="G7" s="12"/>
      <c r="H7" s="12">
        <v>0</v>
      </c>
      <c r="I7" s="12"/>
      <c r="J7" s="12"/>
      <c r="K7" s="12"/>
      <c r="L7" s="12">
        <v>289081</v>
      </c>
      <c r="M7" s="11">
        <v>0</v>
      </c>
      <c r="N7" s="11">
        <f>SUM(D7+F7+H7+J7+L7)-(C7+E7+G7+I7+K7)</f>
        <v>289081.00000000006</v>
      </c>
      <c r="O7" s="59">
        <f>269216.05+N7</f>
        <v>558297.05</v>
      </c>
      <c r="P7" s="260">
        <f>491677.08+66619+0.97</f>
        <v>558297.05</v>
      </c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</row>
    <row r="8" spans="1:15" ht="23.25">
      <c r="A8" s="1" t="s">
        <v>130</v>
      </c>
      <c r="B8" s="2" t="s">
        <v>7</v>
      </c>
      <c r="C8" s="11">
        <f>'ต.ค.'!M8</f>
        <v>2013729.47</v>
      </c>
      <c r="D8" s="11">
        <f>'ต.ค.'!N8</f>
        <v>0</v>
      </c>
      <c r="E8" s="11"/>
      <c r="F8" s="11"/>
      <c r="G8" s="11"/>
      <c r="H8" s="11">
        <v>289081</v>
      </c>
      <c r="I8" s="11"/>
      <c r="J8" s="11"/>
      <c r="K8" s="11">
        <v>289081</v>
      </c>
      <c r="L8" s="11"/>
      <c r="M8" s="11">
        <f t="shared" si="0"/>
        <v>2013729.4699999997</v>
      </c>
      <c r="N8" s="11">
        <v>0</v>
      </c>
      <c r="O8" s="59">
        <f>2013729.47-M8</f>
        <v>0</v>
      </c>
    </row>
    <row r="9" spans="1:15" ht="23.25">
      <c r="A9" s="1" t="s">
        <v>134</v>
      </c>
      <c r="B9" s="2" t="s">
        <v>7</v>
      </c>
      <c r="C9" s="11">
        <f>'ต.ค.'!M9</f>
        <v>0</v>
      </c>
      <c r="D9" s="11">
        <f>'ต.ค.'!N9</f>
        <v>0</v>
      </c>
      <c r="E9" s="11"/>
      <c r="F9" s="11"/>
      <c r="G9" s="11"/>
      <c r="H9" s="11">
        <v>1327776.95</v>
      </c>
      <c r="I9" s="11"/>
      <c r="J9" s="11"/>
      <c r="K9" s="11">
        <v>1327776.95</v>
      </c>
      <c r="L9" s="11"/>
      <c r="M9" s="11">
        <v>0</v>
      </c>
      <c r="N9" s="11">
        <f>SUM(D9+F9+H9+J9+L9)-(C9+E9+G9+I9+K9)</f>
        <v>0</v>
      </c>
      <c r="O9" s="59"/>
    </row>
    <row r="10" spans="1:16" ht="23.25">
      <c r="A10" s="1" t="s">
        <v>117</v>
      </c>
      <c r="B10" s="2" t="s">
        <v>8</v>
      </c>
      <c r="C10" s="11">
        <f>'ต.ค.'!M10</f>
        <v>3390445.19</v>
      </c>
      <c r="D10" s="11">
        <f>'ต.ค.'!N10</f>
        <v>0</v>
      </c>
      <c r="E10" s="11">
        <v>3296137.78</v>
      </c>
      <c r="F10" s="11"/>
      <c r="G10" s="11"/>
      <c r="H10" s="11"/>
      <c r="I10" s="11"/>
      <c r="J10" s="11"/>
      <c r="K10" s="11"/>
      <c r="L10" s="11">
        <f>1327776.95</f>
        <v>1327776.95</v>
      </c>
      <c r="M10" s="11">
        <f t="shared" si="0"/>
        <v>5358806.02</v>
      </c>
      <c r="N10" s="11">
        <v>0</v>
      </c>
      <c r="O10" s="57">
        <f>4891365.48-M10</f>
        <v>-467440.5399999991</v>
      </c>
      <c r="P10" s="59"/>
    </row>
    <row r="11" spans="1:15" ht="23.25">
      <c r="A11" s="1" t="s">
        <v>128</v>
      </c>
      <c r="B11" s="2" t="s">
        <v>8</v>
      </c>
      <c r="C11" s="11">
        <f>'ต.ค.'!M11</f>
        <v>903028.85</v>
      </c>
      <c r="D11" s="11">
        <f>'ต.ค.'!N11</f>
        <v>0</v>
      </c>
      <c r="E11" s="11"/>
      <c r="F11" s="11"/>
      <c r="G11" s="11"/>
      <c r="H11" s="11"/>
      <c r="I11" s="11"/>
      <c r="J11" s="11"/>
      <c r="K11" s="11"/>
      <c r="L11" s="11"/>
      <c r="M11" s="11">
        <f t="shared" si="0"/>
        <v>903028.85</v>
      </c>
      <c r="N11" s="11">
        <v>0</v>
      </c>
      <c r="O11" s="59">
        <f>491677.08+O10</f>
        <v>24236.54000000091</v>
      </c>
    </row>
    <row r="12" spans="1:15" ht="23.25">
      <c r="A12" s="1" t="s">
        <v>131</v>
      </c>
      <c r="B12" s="2" t="s">
        <v>8</v>
      </c>
      <c r="C12" s="11">
        <f>'ต.ค.'!M12</f>
        <v>1619.03</v>
      </c>
      <c r="D12" s="11">
        <f>'ต.ค.'!N12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1619.03</v>
      </c>
      <c r="N12" s="11">
        <v>0</v>
      </c>
      <c r="O12" s="59"/>
    </row>
    <row r="13" spans="1:17" ht="23.25">
      <c r="A13" s="1" t="s">
        <v>39</v>
      </c>
      <c r="B13" s="2" t="s">
        <v>40</v>
      </c>
      <c r="C13" s="11">
        <f>'ต.ค.'!M13</f>
        <v>0</v>
      </c>
      <c r="D13" s="11">
        <f>'ต.ค.'!N13</f>
        <v>0</v>
      </c>
      <c r="E13" s="11"/>
      <c r="F13" s="11"/>
      <c r="G13" s="11">
        <v>237000</v>
      </c>
      <c r="H13" s="11"/>
      <c r="I13" s="11"/>
      <c r="J13" s="11"/>
      <c r="K13" s="11"/>
      <c r="L13" s="11">
        <v>235000</v>
      </c>
      <c r="M13" s="11">
        <f t="shared" si="0"/>
        <v>2000</v>
      </c>
      <c r="N13" s="11">
        <v>0</v>
      </c>
      <c r="O13" s="59"/>
      <c r="Q13" s="59"/>
    </row>
    <row r="14" spans="1:14" ht="23.25">
      <c r="A14" s="1" t="s">
        <v>110</v>
      </c>
      <c r="B14" s="2" t="s">
        <v>111</v>
      </c>
      <c r="C14" s="11">
        <f>'ต.ค.'!M14</f>
        <v>0</v>
      </c>
      <c r="D14" s="11">
        <f>'ต.ค.'!N14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</row>
    <row r="15" spans="1:17" ht="23.25">
      <c r="A15" s="1" t="s">
        <v>52</v>
      </c>
      <c r="B15" s="2" t="s">
        <v>9</v>
      </c>
      <c r="C15" s="11">
        <f>'ต.ค.'!M15</f>
        <v>0</v>
      </c>
      <c r="D15" s="11">
        <f>'ต.ค.'!N15</f>
        <v>0</v>
      </c>
      <c r="E15" s="11"/>
      <c r="F15" s="11"/>
      <c r="G15" s="11">
        <v>8094</v>
      </c>
      <c r="H15" s="11"/>
      <c r="I15" s="11"/>
      <c r="J15" s="11"/>
      <c r="K15" s="11"/>
      <c r="L15" s="11"/>
      <c r="M15" s="11">
        <f t="shared" si="0"/>
        <v>8094</v>
      </c>
      <c r="N15" s="11">
        <v>0</v>
      </c>
      <c r="Q15" s="59"/>
    </row>
    <row r="16" spans="1:14" ht="23.25">
      <c r="A16" s="6" t="s">
        <v>10</v>
      </c>
      <c r="B16" s="7" t="s">
        <v>11</v>
      </c>
      <c r="C16" s="11">
        <f>'ต.ค.'!M16</f>
        <v>234254</v>
      </c>
      <c r="D16" s="11">
        <f>'ต.ค.'!N16</f>
        <v>0</v>
      </c>
      <c r="E16" s="11"/>
      <c r="F16" s="11"/>
      <c r="G16" s="11">
        <v>232101</v>
      </c>
      <c r="H16" s="11"/>
      <c r="I16" s="11"/>
      <c r="J16" s="11"/>
      <c r="K16" s="11"/>
      <c r="L16" s="11"/>
      <c r="M16" s="11">
        <f t="shared" si="0"/>
        <v>466355</v>
      </c>
      <c r="N16" s="11">
        <v>0</v>
      </c>
    </row>
    <row r="17" spans="1:14" ht="23.25">
      <c r="A17" s="1" t="s">
        <v>12</v>
      </c>
      <c r="B17" s="2" t="s">
        <v>13</v>
      </c>
      <c r="C17" s="11">
        <f>'ต.ค.'!M17</f>
        <v>0</v>
      </c>
      <c r="D17" s="11">
        <f>'ต.ค.'!N17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f>SUM(D17+F17+H17+J17+L17)-(C17+E17+G17+I17+K17)</f>
        <v>0</v>
      </c>
    </row>
    <row r="18" spans="1:14" ht="23.25">
      <c r="A18" s="1" t="s">
        <v>14</v>
      </c>
      <c r="B18" s="2" t="s">
        <v>15</v>
      </c>
      <c r="C18" s="11">
        <f>'ต.ค.'!M18</f>
        <v>134980</v>
      </c>
      <c r="D18" s="11">
        <f>'ต.ค.'!N18</f>
        <v>0</v>
      </c>
      <c r="E18" s="11"/>
      <c r="F18" s="11"/>
      <c r="G18" s="11">
        <v>134980</v>
      </c>
      <c r="H18" s="11"/>
      <c r="I18" s="11"/>
      <c r="J18" s="11"/>
      <c r="K18" s="11"/>
      <c r="L18" s="11"/>
      <c r="M18" s="11">
        <f t="shared" si="0"/>
        <v>269960</v>
      </c>
      <c r="N18" s="11">
        <v>0</v>
      </c>
    </row>
    <row r="19" spans="1:14" ht="23.25">
      <c r="A19" s="1" t="s">
        <v>16</v>
      </c>
      <c r="B19" s="2" t="s">
        <v>17</v>
      </c>
      <c r="C19" s="11">
        <f>'ต.ค.'!M19</f>
        <v>278939</v>
      </c>
      <c r="D19" s="11">
        <f>'ต.ค.'!N19</f>
        <v>0</v>
      </c>
      <c r="E19" s="11"/>
      <c r="F19" s="11"/>
      <c r="G19" s="11">
        <v>269005</v>
      </c>
      <c r="H19" s="11"/>
      <c r="I19" s="11"/>
      <c r="J19" s="11"/>
      <c r="K19" s="11"/>
      <c r="L19" s="11"/>
      <c r="M19" s="11">
        <f t="shared" si="0"/>
        <v>547944</v>
      </c>
      <c r="N19" s="11">
        <v>0</v>
      </c>
    </row>
    <row r="20" spans="1:14" ht="23.25">
      <c r="A20" s="1" t="s">
        <v>18</v>
      </c>
      <c r="B20" s="2" t="s">
        <v>19</v>
      </c>
      <c r="C20" s="11">
        <f>'ต.ค.'!M20</f>
        <v>40570</v>
      </c>
      <c r="D20" s="11">
        <f>'ต.ค.'!N20</f>
        <v>0</v>
      </c>
      <c r="E20" s="11"/>
      <c r="F20" s="11"/>
      <c r="G20" s="11">
        <v>90749.83</v>
      </c>
      <c r="H20" s="11"/>
      <c r="I20" s="11"/>
      <c r="J20" s="11"/>
      <c r="K20" s="11">
        <v>235000</v>
      </c>
      <c r="L20" s="11"/>
      <c r="M20" s="11">
        <f t="shared" si="0"/>
        <v>366319.83</v>
      </c>
      <c r="N20" s="11">
        <v>0</v>
      </c>
    </row>
    <row r="21" spans="1:14" ht="23.25">
      <c r="A21" s="1" t="s">
        <v>20</v>
      </c>
      <c r="B21" s="2" t="s">
        <v>21</v>
      </c>
      <c r="C21" s="11">
        <f>'ต.ค.'!M21</f>
        <v>0</v>
      </c>
      <c r="D21" s="11">
        <f>'ต.ค.'!N21</f>
        <v>0</v>
      </c>
      <c r="E21" s="12"/>
      <c r="F21" s="12"/>
      <c r="G21" s="12">
        <v>20290</v>
      </c>
      <c r="H21" s="12"/>
      <c r="I21" s="12"/>
      <c r="J21" s="12"/>
      <c r="K21" s="12"/>
      <c r="L21" s="12"/>
      <c r="M21" s="11">
        <f t="shared" si="0"/>
        <v>20290</v>
      </c>
      <c r="N21" s="11">
        <v>0</v>
      </c>
    </row>
    <row r="22" spans="1:14" ht="23.25">
      <c r="A22" s="1" t="s">
        <v>22</v>
      </c>
      <c r="B22" s="2" t="s">
        <v>23</v>
      </c>
      <c r="C22" s="11">
        <f>'ต.ค.'!M22</f>
        <v>3048.32</v>
      </c>
      <c r="D22" s="11">
        <f>'ต.ค.'!N22</f>
        <v>0</v>
      </c>
      <c r="E22" s="11"/>
      <c r="F22" s="11"/>
      <c r="G22" s="11">
        <v>15852.16</v>
      </c>
      <c r="H22" s="11"/>
      <c r="I22" s="11"/>
      <c r="J22" s="11"/>
      <c r="K22" s="11"/>
      <c r="L22" s="11"/>
      <c r="M22" s="11">
        <f t="shared" si="0"/>
        <v>18900.48</v>
      </c>
      <c r="N22" s="11">
        <v>0</v>
      </c>
    </row>
    <row r="23" spans="1:14" ht="23.25">
      <c r="A23" s="1" t="s">
        <v>24</v>
      </c>
      <c r="B23" s="2" t="s">
        <v>25</v>
      </c>
      <c r="C23" s="11">
        <f>'ต.ค.'!M23</f>
        <v>0</v>
      </c>
      <c r="D23" s="11">
        <f>'ต.ค.'!N23</f>
        <v>0</v>
      </c>
      <c r="E23" s="11"/>
      <c r="F23" s="11"/>
      <c r="G23" s="11"/>
      <c r="H23" s="11"/>
      <c r="I23" s="11"/>
      <c r="J23" s="11"/>
      <c r="K23" s="11"/>
      <c r="L23" s="11"/>
      <c r="M23" s="11">
        <f t="shared" si="0"/>
        <v>0</v>
      </c>
      <c r="N23" s="11">
        <v>0</v>
      </c>
    </row>
    <row r="24" spans="1:14" ht="23.25">
      <c r="A24" s="1" t="s">
        <v>26</v>
      </c>
      <c r="B24" s="2" t="s">
        <v>27</v>
      </c>
      <c r="C24" s="11">
        <f>'ต.ค.'!M24</f>
        <v>0</v>
      </c>
      <c r="D24" s="11">
        <f>'ต.ค.'!N24</f>
        <v>0</v>
      </c>
      <c r="E24" s="11"/>
      <c r="F24" s="11"/>
      <c r="G24" s="11"/>
      <c r="H24" s="11"/>
      <c r="I24" s="11"/>
      <c r="J24" s="11"/>
      <c r="K24" s="11"/>
      <c r="L24" s="11"/>
      <c r="M24" s="11">
        <f t="shared" si="0"/>
        <v>0</v>
      </c>
      <c r="N24" s="11">
        <v>0</v>
      </c>
    </row>
    <row r="25" spans="1:14" ht="23.25">
      <c r="A25" s="1" t="s">
        <v>28</v>
      </c>
      <c r="B25" s="2" t="s">
        <v>29</v>
      </c>
      <c r="C25" s="11">
        <f>'ต.ค.'!M25</f>
        <v>0</v>
      </c>
      <c r="D25" s="11">
        <f>'ต.ค.'!N25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'ต.ค.'!M26</f>
        <v>0</v>
      </c>
      <c r="D26" s="11">
        <f>'ต.ค.'!N26</f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0</v>
      </c>
      <c r="N26" s="11">
        <v>0</v>
      </c>
    </row>
    <row r="27" spans="1:14" ht="23.25">
      <c r="A27" s="1" t="s">
        <v>41</v>
      </c>
      <c r="B27" s="2" t="s">
        <v>42</v>
      </c>
      <c r="C27" s="11">
        <f>'ต.ค.'!M27</f>
        <v>0</v>
      </c>
      <c r="D27" s="11">
        <f>'ต.ค.'!N27</f>
        <v>630000</v>
      </c>
      <c r="E27" s="11"/>
      <c r="F27" s="11"/>
      <c r="G27" s="11">
        <v>20000</v>
      </c>
      <c r="H27" s="11"/>
      <c r="I27" s="11"/>
      <c r="J27" s="11"/>
      <c r="K27" s="11"/>
      <c r="L27" s="11"/>
      <c r="M27" s="11">
        <v>0</v>
      </c>
      <c r="N27" s="11">
        <f aca="true" t="shared" si="1" ref="N27:N91">SUM(D27+F27+H27+J27+L27)-(C27+E27+G27+I27+K27)</f>
        <v>610000</v>
      </c>
    </row>
    <row r="28" spans="1:14" ht="23.25">
      <c r="A28" s="1" t="s">
        <v>44</v>
      </c>
      <c r="B28" s="2" t="s">
        <v>30</v>
      </c>
      <c r="C28" s="11">
        <f>'ต.ค.'!M28</f>
        <v>0</v>
      </c>
      <c r="D28" s="11">
        <f>'ต.ค.'!N28</f>
        <v>3111261.51</v>
      </c>
      <c r="E28" s="11"/>
      <c r="F28" s="11"/>
      <c r="G28" s="11"/>
      <c r="H28" s="11"/>
      <c r="I28" s="11"/>
      <c r="J28" s="11"/>
      <c r="K28" s="11"/>
      <c r="L28" s="11">
        <f>40000+2112</f>
        <v>42112</v>
      </c>
      <c r="M28" s="11">
        <v>0</v>
      </c>
      <c r="N28" s="11">
        <f t="shared" si="1"/>
        <v>3153373.51</v>
      </c>
    </row>
    <row r="29" spans="1:14" ht="23.25">
      <c r="A29" s="1" t="s">
        <v>45</v>
      </c>
      <c r="B29" s="2" t="s">
        <v>43</v>
      </c>
      <c r="C29" s="11">
        <f>'ต.ค.'!M29</f>
        <v>0</v>
      </c>
      <c r="D29" s="11">
        <f>'ต.ค.'!N29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53</v>
      </c>
      <c r="B30" s="2" t="s">
        <v>31</v>
      </c>
      <c r="C30" s="11">
        <f>'ต.ค.'!M30</f>
        <v>0</v>
      </c>
      <c r="D30" s="11">
        <f>'ต.ค.'!N30</f>
        <v>0</v>
      </c>
      <c r="E30" s="11"/>
      <c r="F30" s="11"/>
      <c r="G30" s="11"/>
      <c r="H30" s="11"/>
      <c r="I30" s="11"/>
      <c r="J30" s="11"/>
      <c r="K30" s="11"/>
      <c r="L30" s="11"/>
      <c r="M30" s="11">
        <f t="shared" si="0"/>
        <v>0</v>
      </c>
      <c r="N30" s="11">
        <v>0</v>
      </c>
    </row>
    <row r="31" spans="1:14" ht="23.25">
      <c r="A31" s="1" t="s">
        <v>32</v>
      </c>
      <c r="B31" s="2" t="s">
        <v>33</v>
      </c>
      <c r="C31" s="11">
        <f>'ต.ค.'!M31</f>
        <v>0</v>
      </c>
      <c r="D31" s="11">
        <f>'ต.ค.'!N31</f>
        <v>0</v>
      </c>
      <c r="E31" s="11"/>
      <c r="F31" s="11">
        <v>998804.82</v>
      </c>
      <c r="G31" s="11"/>
      <c r="H31" s="11"/>
      <c r="I31" s="11">
        <v>998804.82</v>
      </c>
      <c r="J31" s="11"/>
      <c r="K31" s="11"/>
      <c r="L31" s="11"/>
      <c r="M31" s="11">
        <v>0</v>
      </c>
      <c r="N31" s="11">
        <f t="shared" si="1"/>
        <v>0</v>
      </c>
    </row>
    <row r="32" spans="1:14" ht="23.25">
      <c r="A32" s="1" t="s">
        <v>35</v>
      </c>
      <c r="B32" s="2" t="s">
        <v>46</v>
      </c>
      <c r="C32" s="11">
        <f>'ต.ค.'!M32</f>
        <v>0</v>
      </c>
      <c r="D32" s="11">
        <f>'ต.ค.'!N32</f>
        <v>0</v>
      </c>
      <c r="E32" s="11"/>
      <c r="F32" s="11"/>
      <c r="G32" s="11"/>
      <c r="H32" s="11"/>
      <c r="I32" s="11"/>
      <c r="J32" s="11"/>
      <c r="K32" s="11"/>
      <c r="L32" s="11"/>
      <c r="M32" s="11">
        <f t="shared" si="0"/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'ต.ค.'!M33</f>
        <v>0</v>
      </c>
      <c r="D33" s="11">
        <f>'ต.ค.'!N33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'ต.ค.'!M34</f>
        <v>14011.22</v>
      </c>
      <c r="D34" s="11">
        <f>'ต.ค.'!N34</f>
        <v>0</v>
      </c>
      <c r="E34" s="11"/>
      <c r="F34" s="11">
        <v>14011.22</v>
      </c>
      <c r="G34" s="11"/>
      <c r="H34" s="11"/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'ต.ค.'!M35</f>
        <v>7973.610000000001</v>
      </c>
      <c r="D35" s="11">
        <f>'ต.ค.'!N35</f>
        <v>0</v>
      </c>
      <c r="E35" s="11"/>
      <c r="F35" s="11"/>
      <c r="G35" s="11">
        <v>128.99</v>
      </c>
      <c r="H35" s="11">
        <v>573.03</v>
      </c>
      <c r="I35" s="11"/>
      <c r="J35" s="11"/>
      <c r="K35" s="11"/>
      <c r="L35" s="11"/>
      <c r="M35" s="11">
        <f t="shared" si="0"/>
        <v>7529.570000000001</v>
      </c>
      <c r="N35" s="11">
        <v>0</v>
      </c>
    </row>
    <row r="36" spans="1:14" ht="23.25">
      <c r="A36" s="6" t="s">
        <v>72</v>
      </c>
      <c r="B36" s="7">
        <v>903</v>
      </c>
      <c r="C36" s="11">
        <f>'ต.ค.'!M36</f>
        <v>0</v>
      </c>
      <c r="D36" s="11">
        <f>'ต.ค.'!N36</f>
        <v>457231.5</v>
      </c>
      <c r="E36" s="11"/>
      <c r="F36" s="11"/>
      <c r="G36" s="11">
        <v>2930</v>
      </c>
      <c r="H36" s="11"/>
      <c r="I36" s="11"/>
      <c r="J36" s="11"/>
      <c r="K36" s="11"/>
      <c r="L36" s="11"/>
      <c r="M36" s="11">
        <v>0</v>
      </c>
      <c r="N36" s="11">
        <f t="shared" si="1"/>
        <v>454301.5</v>
      </c>
    </row>
    <row r="37" spans="1:14" ht="23.25">
      <c r="A37" s="1" t="s">
        <v>73</v>
      </c>
      <c r="B37" s="2">
        <v>904</v>
      </c>
      <c r="C37" s="11">
        <f>'ต.ค.'!M37</f>
        <v>0</v>
      </c>
      <c r="D37" s="11">
        <f>'ต.ค.'!N37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0</v>
      </c>
      <c r="N37" s="11">
        <f t="shared" si="1"/>
        <v>0</v>
      </c>
    </row>
    <row r="38" spans="1:14" ht="23.25">
      <c r="A38" s="1" t="s">
        <v>74</v>
      </c>
      <c r="B38" s="2" t="s">
        <v>49</v>
      </c>
      <c r="C38" s="11">
        <f>'ต.ค.'!M38</f>
        <v>0</v>
      </c>
      <c r="D38" s="11">
        <f>'ต.ค.'!N38</f>
        <v>0</v>
      </c>
      <c r="E38" s="11"/>
      <c r="F38" s="11"/>
      <c r="G38" s="11"/>
      <c r="H38" s="11"/>
      <c r="I38" s="11"/>
      <c r="J38" s="11"/>
      <c r="K38" s="11"/>
      <c r="L38" s="11"/>
      <c r="M38" s="11">
        <f t="shared" si="0"/>
        <v>0</v>
      </c>
      <c r="N38" s="11">
        <f t="shared" si="1"/>
        <v>0</v>
      </c>
    </row>
    <row r="39" spans="1:14" ht="23.25">
      <c r="A39" s="1" t="s">
        <v>75</v>
      </c>
      <c r="B39" s="2" t="s">
        <v>50</v>
      </c>
      <c r="C39" s="11">
        <f>'ต.ค.'!M39</f>
        <v>0</v>
      </c>
      <c r="D39" s="11">
        <f>'ต.ค.'!N39</f>
        <v>0</v>
      </c>
      <c r="E39" s="11"/>
      <c r="F39" s="11"/>
      <c r="G39" s="11"/>
      <c r="H39" s="11"/>
      <c r="I39" s="11"/>
      <c r="J39" s="11"/>
      <c r="K39" s="11"/>
      <c r="L39" s="11"/>
      <c r="M39" s="11">
        <f t="shared" si="0"/>
        <v>0</v>
      </c>
      <c r="N39" s="11">
        <f t="shared" si="1"/>
        <v>0</v>
      </c>
    </row>
    <row r="40" spans="1:14" ht="23.25">
      <c r="A40" s="1" t="s">
        <v>54</v>
      </c>
      <c r="B40" s="2">
        <v>900</v>
      </c>
      <c r="C40" s="11">
        <f>'ต.ค.'!M40</f>
        <v>0</v>
      </c>
      <c r="D40" s="11">
        <f>'ต.ค.'!N40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'ต.ค.'!M41</f>
        <v>0</v>
      </c>
      <c r="D41" s="11">
        <f>'ต.ค.'!N41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v>0</v>
      </c>
      <c r="N41" s="11">
        <f t="shared" si="1"/>
        <v>0</v>
      </c>
    </row>
    <row r="42" spans="1:14" ht="23.25">
      <c r="A42" s="1" t="s">
        <v>56</v>
      </c>
      <c r="B42" s="2">
        <v>900</v>
      </c>
      <c r="C42" s="11">
        <f>'ต.ค.'!M42</f>
        <v>0</v>
      </c>
      <c r="D42" s="11">
        <f>'ต.ค.'!N42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'ต.ค.'!M43</f>
        <v>0</v>
      </c>
      <c r="D43" s="11">
        <f>'ต.ค.'!N43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'ต.ค.'!M44</f>
        <v>0</v>
      </c>
      <c r="D44" s="11">
        <f>'ต.ค.'!N44</f>
        <v>0</v>
      </c>
      <c r="E44" s="11"/>
      <c r="F44" s="11"/>
      <c r="G44" s="11"/>
      <c r="H44" s="11"/>
      <c r="I44" s="11"/>
      <c r="J44" s="11"/>
      <c r="K44" s="11"/>
      <c r="L44" s="11"/>
      <c r="M44" s="11">
        <f t="shared" si="0"/>
        <v>0</v>
      </c>
      <c r="N44" s="11">
        <f t="shared" si="1"/>
        <v>0</v>
      </c>
    </row>
    <row r="45" spans="1:14" ht="23.25">
      <c r="A45" s="6" t="s">
        <v>58</v>
      </c>
      <c r="B45" s="2">
        <v>900</v>
      </c>
      <c r="C45" s="11">
        <f>'ต.ค.'!M45</f>
        <v>0</v>
      </c>
      <c r="D45" s="11">
        <f>'ต.ค.'!N45</f>
        <v>0</v>
      </c>
      <c r="E45" s="11"/>
      <c r="F45" s="11"/>
      <c r="G45" s="11"/>
      <c r="H45" s="11"/>
      <c r="I45" s="11"/>
      <c r="J45" s="11"/>
      <c r="K45" s="11"/>
      <c r="L45" s="11"/>
      <c r="M45" s="11">
        <f t="shared" si="0"/>
        <v>0</v>
      </c>
      <c r="N45" s="11">
        <f t="shared" si="1"/>
        <v>0</v>
      </c>
    </row>
    <row r="46" spans="1:14" ht="23.25">
      <c r="A46" s="1" t="s">
        <v>158</v>
      </c>
      <c r="B46" s="2">
        <v>900</v>
      </c>
      <c r="C46" s="11">
        <f>'ต.ค.'!M46</f>
        <v>0</v>
      </c>
      <c r="D46" s="11">
        <f>'ต.ค.'!N46</f>
        <v>0</v>
      </c>
      <c r="E46" s="11"/>
      <c r="F46" s="11"/>
      <c r="G46" s="11"/>
      <c r="H46" s="11"/>
      <c r="I46" s="11"/>
      <c r="J46" s="11"/>
      <c r="K46" s="11"/>
      <c r="L46" s="11"/>
      <c r="M46" s="11">
        <f t="shared" si="0"/>
        <v>0</v>
      </c>
      <c r="N46" s="11">
        <f t="shared" si="1"/>
        <v>0</v>
      </c>
    </row>
    <row r="47" spans="1:14" ht="23.25">
      <c r="A47" s="1" t="s">
        <v>166</v>
      </c>
      <c r="B47" s="2">
        <v>900</v>
      </c>
      <c r="C47" s="11">
        <f>'ต.ค.'!M47</f>
        <v>0</v>
      </c>
      <c r="D47" s="11">
        <f>'ต.ค.'!N47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'ต.ค.'!M48</f>
        <v>0</v>
      </c>
      <c r="D48" s="11">
        <f>'ต.ค.'!N48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f t="shared" si="0"/>
        <v>0</v>
      </c>
      <c r="N48" s="11">
        <f t="shared" si="1"/>
        <v>0</v>
      </c>
    </row>
    <row r="49" spans="1:14" ht="23.25">
      <c r="A49" s="1" t="s">
        <v>61</v>
      </c>
      <c r="B49" s="2" t="s">
        <v>34</v>
      </c>
      <c r="C49" s="11">
        <f>'ต.ค.'!M49</f>
        <v>0</v>
      </c>
      <c r="D49" s="11">
        <f>'ต.ค.'!N49</f>
        <v>889854</v>
      </c>
      <c r="E49" s="11"/>
      <c r="F49" s="11"/>
      <c r="G49" s="11"/>
      <c r="H49" s="11"/>
      <c r="I49" s="11"/>
      <c r="J49" s="11"/>
      <c r="K49" s="11"/>
      <c r="L49" s="11"/>
      <c r="M49" s="11">
        <v>0</v>
      </c>
      <c r="N49" s="11">
        <f t="shared" si="1"/>
        <v>889854</v>
      </c>
    </row>
    <row r="50" spans="1:14" ht="23.25">
      <c r="A50" s="1" t="s">
        <v>62</v>
      </c>
      <c r="B50" s="2" t="s">
        <v>34</v>
      </c>
      <c r="C50" s="11">
        <f>'ต.ค.'!M50</f>
        <v>0</v>
      </c>
      <c r="D50" s="11">
        <f>'ต.ค.'!N50</f>
        <v>13174.85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13174.85</v>
      </c>
    </row>
    <row r="51" spans="1:14" ht="23.25">
      <c r="A51" s="1" t="s">
        <v>144</v>
      </c>
      <c r="B51" s="2">
        <v>900</v>
      </c>
      <c r="C51" s="11">
        <f>'ต.ค.'!M51</f>
        <v>0</v>
      </c>
      <c r="D51" s="11">
        <f>'ต.ค.'!N51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f t="shared" si="0"/>
        <v>0</v>
      </c>
      <c r="N51" s="11">
        <f t="shared" si="1"/>
        <v>0</v>
      </c>
    </row>
    <row r="52" spans="1:14" ht="23.25">
      <c r="A52" s="1" t="s">
        <v>64</v>
      </c>
      <c r="B52" s="2">
        <v>900</v>
      </c>
      <c r="C52" s="11">
        <f>'ต.ค.'!M52</f>
        <v>0</v>
      </c>
      <c r="D52" s="11">
        <f>'ต.ค.'!N52</f>
        <v>0</v>
      </c>
      <c r="E52" s="11"/>
      <c r="F52" s="11">
        <v>2000</v>
      </c>
      <c r="G52" s="11"/>
      <c r="H52" s="11"/>
      <c r="I52" s="11"/>
      <c r="J52" s="11"/>
      <c r="K52" s="11"/>
      <c r="L52" s="11"/>
      <c r="M52" s="11">
        <v>0</v>
      </c>
      <c r="N52" s="11">
        <f t="shared" si="1"/>
        <v>2000</v>
      </c>
    </row>
    <row r="53" spans="1:14" ht="23.25">
      <c r="A53" s="1" t="s">
        <v>65</v>
      </c>
      <c r="B53" s="2">
        <v>900</v>
      </c>
      <c r="C53" s="11">
        <f>'ต.ค.'!M53</f>
        <v>0</v>
      </c>
      <c r="D53" s="11">
        <f>'ต.ค.'!N53</f>
        <v>0</v>
      </c>
      <c r="E53" s="11"/>
      <c r="F53" s="11"/>
      <c r="G53" s="11"/>
      <c r="H53" s="11"/>
      <c r="I53" s="11"/>
      <c r="J53" s="11"/>
      <c r="K53" s="11"/>
      <c r="L53" s="11"/>
      <c r="M53" s="11">
        <v>0</v>
      </c>
      <c r="N53" s="11">
        <f t="shared" si="1"/>
        <v>0</v>
      </c>
    </row>
    <row r="54" spans="1:14" ht="23.25">
      <c r="A54" s="1" t="s">
        <v>66</v>
      </c>
      <c r="B54" s="2">
        <v>900</v>
      </c>
      <c r="C54" s="11">
        <f>'ต.ค.'!M54</f>
        <v>0</v>
      </c>
      <c r="D54" s="11">
        <f>'ต.ค.'!N54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f>'ต.ค.'!M55</f>
        <v>0</v>
      </c>
      <c r="D55" s="11">
        <f>'ต.ค.'!N55</f>
        <v>0</v>
      </c>
      <c r="E55" s="11"/>
      <c r="F55" s="11"/>
      <c r="G55" s="11"/>
      <c r="H55" s="11"/>
      <c r="I55" s="11"/>
      <c r="J55" s="11"/>
      <c r="K55" s="11"/>
      <c r="L55" s="11"/>
      <c r="M55" s="11">
        <f t="shared" si="0"/>
        <v>0</v>
      </c>
      <c r="N55" s="11">
        <f t="shared" si="1"/>
        <v>0</v>
      </c>
    </row>
    <row r="56" spans="1:14" ht="23.25">
      <c r="A56" s="1" t="s">
        <v>142</v>
      </c>
      <c r="B56" s="2" t="s">
        <v>34</v>
      </c>
      <c r="C56" s="11">
        <f>'ต.ค.'!M56</f>
        <v>0</v>
      </c>
      <c r="D56" s="11">
        <f>'ต.ค.'!N56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'ต.ค.'!M57</f>
        <v>0</v>
      </c>
      <c r="D57" s="11">
        <f>'ต.ค.'!N57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69</v>
      </c>
      <c r="B58" s="2" t="s">
        <v>34</v>
      </c>
      <c r="C58" s="11">
        <f>'ต.ค.'!M58</f>
        <v>0</v>
      </c>
      <c r="D58" s="11">
        <f>'ต.ค.'!N58</f>
        <v>0</v>
      </c>
      <c r="E58" s="12"/>
      <c r="F58" s="12"/>
      <c r="G58" s="12"/>
      <c r="H58" s="12"/>
      <c r="I58" s="12"/>
      <c r="J58" s="12"/>
      <c r="K58" s="12"/>
      <c r="L58" s="12"/>
      <c r="M58" s="11">
        <f t="shared" si="0"/>
        <v>0</v>
      </c>
      <c r="N58" s="11">
        <f t="shared" si="1"/>
        <v>0</v>
      </c>
    </row>
    <row r="59" spans="1:14" ht="23.25">
      <c r="A59" s="1" t="s">
        <v>70</v>
      </c>
      <c r="B59" s="2" t="s">
        <v>34</v>
      </c>
      <c r="C59" s="11">
        <f>'ต.ค.'!M59</f>
        <v>0</v>
      </c>
      <c r="D59" s="11">
        <f>'ต.ค.'!N59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f t="shared" si="0"/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'ต.ค.'!M60</f>
        <v>0</v>
      </c>
      <c r="D60" s="11">
        <f>'ต.ค.'!N60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279</v>
      </c>
      <c r="B61" s="2" t="s">
        <v>163</v>
      </c>
      <c r="C61" s="11">
        <f>'ต.ค.'!M61</f>
        <v>0</v>
      </c>
      <c r="D61" s="11">
        <f>'ต.ค.'!N61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'ต.ค.'!M62</f>
        <v>0</v>
      </c>
      <c r="D62" s="11">
        <f>'ต.ค.'!N62</f>
        <v>0</v>
      </c>
      <c r="E62" s="11"/>
      <c r="F62" s="11"/>
      <c r="G62" s="11"/>
      <c r="H62" s="11"/>
      <c r="I62" s="11"/>
      <c r="J62" s="11"/>
      <c r="K62" s="11"/>
      <c r="L62" s="11"/>
      <c r="M62" s="11">
        <f t="shared" si="0"/>
        <v>0</v>
      </c>
      <c r="N62" s="11">
        <v>0</v>
      </c>
    </row>
    <row r="63" spans="1:14" ht="23.25">
      <c r="A63" s="1" t="s">
        <v>278</v>
      </c>
      <c r="B63" s="2" t="s">
        <v>167</v>
      </c>
      <c r="C63" s="11">
        <f>'ต.ค.'!M63</f>
        <v>0</v>
      </c>
      <c r="D63" s="11">
        <f>'ต.ค.'!N63</f>
        <v>244582</v>
      </c>
      <c r="E63" s="11"/>
      <c r="F63" s="11"/>
      <c r="G63" s="11"/>
      <c r="H63" s="11"/>
      <c r="I63" s="11"/>
      <c r="J63" s="11"/>
      <c r="K63" s="11">
        <f>40000+2112</f>
        <v>42112</v>
      </c>
      <c r="L63" s="11"/>
      <c r="M63" s="11">
        <v>0</v>
      </c>
      <c r="N63" s="11">
        <f t="shared" si="1"/>
        <v>202470</v>
      </c>
    </row>
    <row r="64" spans="1:14" ht="23.25">
      <c r="A64" s="1" t="s">
        <v>277</v>
      </c>
      <c r="B64" s="2" t="s">
        <v>163</v>
      </c>
      <c r="C64" s="11">
        <f>'ต.ค.'!M64</f>
        <v>0</v>
      </c>
      <c r="D64" s="11">
        <f>'ต.ค.'!N64</f>
        <v>0</v>
      </c>
      <c r="E64" s="11"/>
      <c r="F64" s="11">
        <v>1905000</v>
      </c>
      <c r="G64" s="11">
        <f>630000+5000</f>
        <v>635000</v>
      </c>
      <c r="H64" s="11"/>
      <c r="I64" s="11"/>
      <c r="J64" s="11"/>
      <c r="K64" s="11"/>
      <c r="L64" s="11"/>
      <c r="M64" s="11">
        <v>0</v>
      </c>
      <c r="N64" s="11">
        <f t="shared" si="1"/>
        <v>1270000</v>
      </c>
    </row>
    <row r="65" spans="1:14" ht="23.25">
      <c r="A65" s="1" t="s">
        <v>297</v>
      </c>
      <c r="B65" s="2" t="s">
        <v>167</v>
      </c>
      <c r="C65" s="11">
        <f>'ต.ค.'!M65</f>
        <v>0</v>
      </c>
      <c r="D65" s="11">
        <f>'ต.ค.'!N65</f>
        <v>0</v>
      </c>
      <c r="E65" s="11"/>
      <c r="F65" s="11"/>
      <c r="G65" s="11"/>
      <c r="H65" s="11"/>
      <c r="I65" s="11"/>
      <c r="J65" s="11"/>
      <c r="K65" s="11"/>
      <c r="L65" s="11"/>
      <c r="M65" s="11">
        <f t="shared" si="0"/>
        <v>0</v>
      </c>
      <c r="N65" s="11">
        <f t="shared" si="1"/>
        <v>0</v>
      </c>
    </row>
    <row r="66" spans="1:14" ht="23.25">
      <c r="A66" s="1" t="s">
        <v>120</v>
      </c>
      <c r="B66" s="2" t="s">
        <v>34</v>
      </c>
      <c r="C66" s="11">
        <f>'ต.ค.'!M66</f>
        <v>0</v>
      </c>
      <c r="D66" s="11">
        <f>'ต.ค.'!N66</f>
        <v>0</v>
      </c>
      <c r="E66" s="11"/>
      <c r="F66" s="11"/>
      <c r="G66" s="11"/>
      <c r="H66" s="11"/>
      <c r="I66" s="11"/>
      <c r="J66" s="11"/>
      <c r="K66" s="11"/>
      <c r="L66" s="11"/>
      <c r="M66" s="11"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f>'ต.ค.'!M67</f>
        <v>0</v>
      </c>
      <c r="D67" s="11">
        <f>'ต.ค.'!N67</f>
        <v>0</v>
      </c>
      <c r="E67" s="11"/>
      <c r="F67" s="11"/>
      <c r="G67" s="11"/>
      <c r="H67" s="11">
        <v>48700</v>
      </c>
      <c r="I67" s="11"/>
      <c r="J67" s="11"/>
      <c r="K67" s="11"/>
      <c r="L67" s="11"/>
      <c r="M67" s="11">
        <v>0</v>
      </c>
      <c r="N67" s="11">
        <f t="shared" si="1"/>
        <v>48700</v>
      </c>
    </row>
    <row r="68" spans="1:14" ht="23.25">
      <c r="A68" s="1" t="s">
        <v>121</v>
      </c>
      <c r="B68" s="40" t="s">
        <v>34</v>
      </c>
      <c r="C68" s="11">
        <f>'ต.ค.'!M68</f>
        <v>0</v>
      </c>
      <c r="D68" s="11">
        <f>'ต.ค.'!N68</f>
        <v>0</v>
      </c>
      <c r="E68" s="11"/>
      <c r="F68" s="11"/>
      <c r="G68" s="11"/>
      <c r="H68" s="11"/>
      <c r="I68" s="11"/>
      <c r="J68" s="11"/>
      <c r="K68" s="11"/>
      <c r="L68" s="11"/>
      <c r="M68" s="11">
        <f t="shared" si="0"/>
        <v>0</v>
      </c>
      <c r="N68" s="11">
        <v>0</v>
      </c>
    </row>
    <row r="69" spans="1:14" ht="23.25">
      <c r="A69" s="51" t="s">
        <v>94</v>
      </c>
      <c r="B69" s="40" t="s">
        <v>79</v>
      </c>
      <c r="C69" s="11">
        <f>'ต.ค.'!M69</f>
        <v>0</v>
      </c>
      <c r="D69" s="11">
        <f>'ต.ค.'!N69</f>
        <v>0</v>
      </c>
      <c r="E69" s="11"/>
      <c r="F69" s="11"/>
      <c r="G69" s="11"/>
      <c r="H69" s="11"/>
      <c r="I69" s="11"/>
      <c r="J69" s="11"/>
      <c r="K69" s="11"/>
      <c r="L69" s="11"/>
      <c r="M69" s="11">
        <f>SUM(C69+E69+G69+I69+K69)-(D69+F69+H69+J69+L69)</f>
        <v>0</v>
      </c>
      <c r="N69" s="11">
        <f t="shared" si="1"/>
        <v>0</v>
      </c>
    </row>
    <row r="70" spans="1:14" ht="23.25">
      <c r="A70" s="51" t="s">
        <v>95</v>
      </c>
      <c r="B70" s="40" t="s">
        <v>80</v>
      </c>
      <c r="C70" s="11">
        <f>'ต.ค.'!M70</f>
        <v>0</v>
      </c>
      <c r="D70" s="11">
        <f>'ต.ค.'!N70</f>
        <v>0</v>
      </c>
      <c r="E70" s="11"/>
      <c r="F70" s="11"/>
      <c r="G70" s="11"/>
      <c r="H70" s="11"/>
      <c r="I70" s="11"/>
      <c r="J70" s="11"/>
      <c r="K70" s="11"/>
      <c r="L70" s="11"/>
      <c r="M70" s="11">
        <f>SUM(C70+E70+G70+I70+K70)-(D70+F70+H70+J70+L70)</f>
        <v>0</v>
      </c>
      <c r="N70" s="11">
        <f t="shared" si="1"/>
        <v>0</v>
      </c>
    </row>
    <row r="71" spans="1:14" ht="23.25">
      <c r="A71" s="51" t="s">
        <v>96</v>
      </c>
      <c r="B71" s="40" t="s">
        <v>81</v>
      </c>
      <c r="C71" s="11">
        <f>'ต.ค.'!M71</f>
        <v>0</v>
      </c>
      <c r="D71" s="11">
        <f>'ต.ค.'!N71</f>
        <v>0</v>
      </c>
      <c r="E71" s="11"/>
      <c r="F71" s="11"/>
      <c r="G71" s="11"/>
      <c r="H71" s="11"/>
      <c r="I71" s="11"/>
      <c r="J71" s="11"/>
      <c r="K71" s="11"/>
      <c r="L71" s="11"/>
      <c r="M71" s="11">
        <f>SUM(C71+E71+G71+I71+K71)-(D71+F71+H71+J71+L71)</f>
        <v>0</v>
      </c>
      <c r="N71" s="11">
        <f t="shared" si="1"/>
        <v>0</v>
      </c>
    </row>
    <row r="72" spans="1:14" ht="23.25">
      <c r="A72" s="51" t="s">
        <v>164</v>
      </c>
      <c r="B72" s="40" t="s">
        <v>162</v>
      </c>
      <c r="C72" s="11">
        <f>'ต.ค.'!M72</f>
        <v>0</v>
      </c>
      <c r="D72" s="11">
        <f>'ต.ค.'!N72</f>
        <v>4140</v>
      </c>
      <c r="E72" s="11"/>
      <c r="F72" s="11"/>
      <c r="G72" s="11"/>
      <c r="H72" s="11"/>
      <c r="I72" s="11"/>
      <c r="J72" s="11">
        <v>6000</v>
      </c>
      <c r="K72" s="11"/>
      <c r="L72" s="11"/>
      <c r="M72" s="11">
        <v>0</v>
      </c>
      <c r="N72" s="11">
        <f t="shared" si="1"/>
        <v>10140</v>
      </c>
    </row>
    <row r="73" spans="1:14" ht="23.25">
      <c r="A73" s="51" t="s">
        <v>97</v>
      </c>
      <c r="B73" s="40" t="s">
        <v>83</v>
      </c>
      <c r="C73" s="11">
        <f>'ต.ค.'!M73</f>
        <v>0</v>
      </c>
      <c r="D73" s="11">
        <f>'ต.ค.'!N73</f>
        <v>723761.74</v>
      </c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1">
        <f t="shared" si="1"/>
        <v>723761.74</v>
      </c>
    </row>
    <row r="74" spans="1:14" ht="23.25">
      <c r="A74" s="51" t="s">
        <v>125</v>
      </c>
      <c r="B74" s="40" t="s">
        <v>160</v>
      </c>
      <c r="C74" s="11">
        <f>'ต.ค.'!M74</f>
        <v>0</v>
      </c>
      <c r="D74" s="11">
        <f>'ต.ค.'!N74</f>
        <v>0</v>
      </c>
      <c r="E74" s="11"/>
      <c r="F74" s="11"/>
      <c r="G74" s="11"/>
      <c r="H74" s="11"/>
      <c r="I74" s="11"/>
      <c r="J74" s="11">
        <v>313520.62</v>
      </c>
      <c r="K74" s="11"/>
      <c r="L74" s="11"/>
      <c r="M74" s="11">
        <v>0</v>
      </c>
      <c r="N74" s="11">
        <f t="shared" si="1"/>
        <v>313520.62</v>
      </c>
    </row>
    <row r="75" spans="1:14" ht="23.25">
      <c r="A75" s="51" t="s">
        <v>123</v>
      </c>
      <c r="B75" s="40" t="s">
        <v>161</v>
      </c>
      <c r="C75" s="11">
        <f>'ต.ค.'!M75</f>
        <v>0</v>
      </c>
      <c r="D75" s="11">
        <f>'ต.ค.'!N75</f>
        <v>6744</v>
      </c>
      <c r="E75" s="11"/>
      <c r="F75" s="11"/>
      <c r="G75" s="11"/>
      <c r="H75" s="11"/>
      <c r="I75" s="11"/>
      <c r="J75" s="11">
        <v>9090</v>
      </c>
      <c r="K75" s="11"/>
      <c r="L75" s="11"/>
      <c r="M75" s="11">
        <v>0</v>
      </c>
      <c r="N75" s="11">
        <f t="shared" si="1"/>
        <v>15834</v>
      </c>
    </row>
    <row r="76" spans="1:14" ht="23.25">
      <c r="A76" s="51" t="s">
        <v>98</v>
      </c>
      <c r="B76" s="40" t="s">
        <v>85</v>
      </c>
      <c r="C76" s="11">
        <f>'ต.ค.'!M76</f>
        <v>0</v>
      </c>
      <c r="D76" s="11">
        <f>'ต.ค.'!N76</f>
        <v>0</v>
      </c>
      <c r="E76" s="11"/>
      <c r="F76" s="11"/>
      <c r="G76" s="11"/>
      <c r="H76" s="11"/>
      <c r="I76" s="11"/>
      <c r="J76" s="11">
        <v>156899.64</v>
      </c>
      <c r="K76" s="11"/>
      <c r="L76" s="11"/>
      <c r="M76" s="11">
        <v>0</v>
      </c>
      <c r="N76" s="11">
        <f t="shared" si="1"/>
        <v>156899.64</v>
      </c>
    </row>
    <row r="77" spans="1:14" ht="23.25">
      <c r="A77" s="51" t="s">
        <v>99</v>
      </c>
      <c r="B77" s="40" t="s">
        <v>86</v>
      </c>
      <c r="C77" s="11">
        <f>'ต.ค.'!M77</f>
        <v>0</v>
      </c>
      <c r="D77" s="11">
        <f>'ต.ค.'!N77</f>
        <v>0</v>
      </c>
      <c r="E77" s="11"/>
      <c r="F77" s="11"/>
      <c r="G77" s="11"/>
      <c r="H77" s="11"/>
      <c r="I77" s="11"/>
      <c r="J77" s="11">
        <v>476444.56</v>
      </c>
      <c r="K77" s="11"/>
      <c r="L77" s="11"/>
      <c r="M77" s="11">
        <v>0</v>
      </c>
      <c r="N77" s="11">
        <f t="shared" si="1"/>
        <v>476444.56</v>
      </c>
    </row>
    <row r="78" spans="1:14" ht="23.25">
      <c r="A78" s="51" t="s">
        <v>100</v>
      </c>
      <c r="B78" s="40" t="s">
        <v>87</v>
      </c>
      <c r="C78" s="11">
        <f>'ต.ค.'!M78</f>
        <v>0</v>
      </c>
      <c r="D78" s="11">
        <f>'ต.ค.'!N78</f>
        <v>0</v>
      </c>
      <c r="E78" s="11"/>
      <c r="F78" s="11"/>
      <c r="G78" s="11"/>
      <c r="H78" s="11"/>
      <c r="I78" s="11"/>
      <c r="J78" s="11"/>
      <c r="K78" s="11"/>
      <c r="L78" s="11"/>
      <c r="M78" s="11">
        <v>0</v>
      </c>
      <c r="N78" s="11">
        <f t="shared" si="1"/>
        <v>0</v>
      </c>
    </row>
    <row r="79" spans="1:14" ht="23.25">
      <c r="A79" s="51" t="s">
        <v>293</v>
      </c>
      <c r="B79" s="40" t="s">
        <v>87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>
        <v>0</v>
      </c>
      <c r="N79" s="11">
        <f t="shared" si="1"/>
        <v>0</v>
      </c>
    </row>
    <row r="80" spans="1:14" ht="23.25">
      <c r="A80" s="51" t="s">
        <v>280</v>
      </c>
      <c r="B80" s="40" t="s">
        <v>88</v>
      </c>
      <c r="C80" s="11">
        <f>'ต.ค.'!M80</f>
        <v>0</v>
      </c>
      <c r="D80" s="11">
        <f>'ต.ค.'!N80</f>
        <v>0</v>
      </c>
      <c r="E80" s="11"/>
      <c r="F80" s="11"/>
      <c r="G80" s="11"/>
      <c r="H80" s="11"/>
      <c r="I80" s="11"/>
      <c r="J80" s="11"/>
      <c r="K80" s="11"/>
      <c r="L80" s="11"/>
      <c r="M80" s="11">
        <f>SUM(C80+E80+G80+I80+K80)-(D80+F80+H80+J80+L80)</f>
        <v>0</v>
      </c>
      <c r="N80" s="11">
        <f t="shared" si="1"/>
        <v>0</v>
      </c>
    </row>
    <row r="81" spans="1:14" ht="23.25">
      <c r="A81" s="51" t="s">
        <v>124</v>
      </c>
      <c r="B81" s="40" t="s">
        <v>89</v>
      </c>
      <c r="C81" s="11">
        <f>'ต.ค.'!M81</f>
        <v>0</v>
      </c>
      <c r="D81" s="11">
        <f>'ต.ค.'!N81</f>
        <v>0</v>
      </c>
      <c r="E81" s="11"/>
      <c r="F81" s="11"/>
      <c r="G81" s="11"/>
      <c r="H81" s="11"/>
      <c r="I81" s="11"/>
      <c r="J81" s="11">
        <v>10</v>
      </c>
      <c r="K81" s="11"/>
      <c r="L81" s="11"/>
      <c r="M81" s="11">
        <v>0</v>
      </c>
      <c r="N81" s="11">
        <f t="shared" si="1"/>
        <v>10</v>
      </c>
    </row>
    <row r="82" spans="1:14" ht="23.25">
      <c r="A82" s="51" t="s">
        <v>132</v>
      </c>
      <c r="B82" s="40" t="s">
        <v>133</v>
      </c>
      <c r="C82" s="11">
        <f>'ต.ค.'!M82</f>
        <v>0</v>
      </c>
      <c r="D82" s="11">
        <f>'ต.ค.'!N82</f>
        <v>0</v>
      </c>
      <c r="E82" s="11"/>
      <c r="F82" s="11"/>
      <c r="G82" s="11"/>
      <c r="H82" s="11"/>
      <c r="I82" s="11"/>
      <c r="J82" s="11"/>
      <c r="K82" s="11"/>
      <c r="L82" s="11"/>
      <c r="M82" s="11">
        <v>0</v>
      </c>
      <c r="N82" s="11">
        <f t="shared" si="1"/>
        <v>0</v>
      </c>
    </row>
    <row r="83" spans="1:14" ht="23.25">
      <c r="A83" s="51" t="s">
        <v>294</v>
      </c>
      <c r="B83" s="40" t="s">
        <v>90</v>
      </c>
      <c r="C83" s="11">
        <f>'ต.ค.'!M83</f>
        <v>0</v>
      </c>
      <c r="D83" s="11">
        <f>'ต.ค.'!N83</f>
        <v>0</v>
      </c>
      <c r="E83" s="11"/>
      <c r="F83" s="11"/>
      <c r="G83" s="11"/>
      <c r="H83" s="11"/>
      <c r="I83" s="11"/>
      <c r="J83" s="11"/>
      <c r="K83" s="11"/>
      <c r="L83" s="11"/>
      <c r="M83" s="11">
        <f>SUM(C83+E83+G83+I83+K83)-(D83+F83+H83+J83+L83)</f>
        <v>0</v>
      </c>
      <c r="N83" s="11">
        <f t="shared" si="1"/>
        <v>0</v>
      </c>
    </row>
    <row r="84" spans="1:14" ht="23.25">
      <c r="A84" s="51" t="s">
        <v>295</v>
      </c>
      <c r="B84" s="40" t="s">
        <v>91</v>
      </c>
      <c r="C84" s="11">
        <f>'ต.ค.'!M84</f>
        <v>0</v>
      </c>
      <c r="D84" s="11">
        <f>'ต.ค.'!N84</f>
        <v>0</v>
      </c>
      <c r="E84" s="11"/>
      <c r="F84" s="11"/>
      <c r="G84" s="11"/>
      <c r="H84" s="11"/>
      <c r="I84" s="11"/>
      <c r="J84" s="11"/>
      <c r="K84" s="11"/>
      <c r="L84" s="11"/>
      <c r="M84" s="11">
        <f>SUM(C84+E84+G84+I84+K84)-(D84+F84+H84+J84+L84)</f>
        <v>0</v>
      </c>
      <c r="N84" s="11">
        <f t="shared" si="1"/>
        <v>0</v>
      </c>
    </row>
    <row r="85" spans="1:14" ht="23.25">
      <c r="A85" s="51" t="s">
        <v>104</v>
      </c>
      <c r="B85" s="40" t="s">
        <v>92</v>
      </c>
      <c r="C85" s="11">
        <f>'ต.ค.'!M85</f>
        <v>0</v>
      </c>
      <c r="D85" s="11">
        <f>'ต.ค.'!N85</f>
        <v>300</v>
      </c>
      <c r="E85" s="11"/>
      <c r="F85" s="11"/>
      <c r="G85" s="11"/>
      <c r="H85" s="11"/>
      <c r="I85" s="11"/>
      <c r="J85" s="11">
        <v>2840</v>
      </c>
      <c r="K85" s="11"/>
      <c r="L85" s="11"/>
      <c r="M85" s="11">
        <v>0</v>
      </c>
      <c r="N85" s="11">
        <f t="shared" si="1"/>
        <v>3140</v>
      </c>
    </row>
    <row r="86" spans="1:14" ht="23.25">
      <c r="A86" s="51" t="s">
        <v>105</v>
      </c>
      <c r="B86" s="40" t="s">
        <v>93</v>
      </c>
      <c r="C86" s="11">
        <f>'ต.ค.'!M86</f>
        <v>0</v>
      </c>
      <c r="D86" s="11">
        <f>'ต.ค.'!N86</f>
        <v>0</v>
      </c>
      <c r="E86" s="39"/>
      <c r="F86" s="39"/>
      <c r="G86" s="39"/>
      <c r="H86" s="39"/>
      <c r="I86" s="39"/>
      <c r="J86" s="39"/>
      <c r="K86" s="39"/>
      <c r="L86" s="39"/>
      <c r="M86" s="11">
        <f>SUM(C86+E86+G86+I86+K86)-(D86+F86+H86+J86+L86)</f>
        <v>0</v>
      </c>
      <c r="N86" s="11">
        <f t="shared" si="1"/>
        <v>0</v>
      </c>
    </row>
    <row r="87" spans="1:14" ht="23.25">
      <c r="A87" s="1" t="s">
        <v>106</v>
      </c>
      <c r="B87" s="40" t="s">
        <v>133</v>
      </c>
      <c r="C87" s="11">
        <f>'ต.ค.'!M87</f>
        <v>0</v>
      </c>
      <c r="D87" s="11">
        <f>'ต.ค.'!N87</f>
        <v>19000</v>
      </c>
      <c r="E87" s="39"/>
      <c r="F87" s="39"/>
      <c r="G87" s="39"/>
      <c r="H87" s="39"/>
      <c r="I87" s="39"/>
      <c r="J87" s="39">
        <v>34000</v>
      </c>
      <c r="K87" s="39"/>
      <c r="L87" s="39"/>
      <c r="M87" s="11">
        <v>0</v>
      </c>
      <c r="N87" s="11">
        <f t="shared" si="1"/>
        <v>53000</v>
      </c>
    </row>
    <row r="88" spans="1:14" ht="23.25">
      <c r="A88" s="51" t="s">
        <v>140</v>
      </c>
      <c r="B88" s="40" t="s">
        <v>159</v>
      </c>
      <c r="C88" s="39">
        <v>0</v>
      </c>
      <c r="D88" s="39">
        <f>'ต.ค.'!N88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f>SUM(C88+E88+G88+I88+K88)-(D88+F88+H88+J88+L88)</f>
        <v>0</v>
      </c>
      <c r="N88" s="11">
        <f t="shared" si="1"/>
        <v>0</v>
      </c>
    </row>
    <row r="89" spans="1:14" ht="23.25">
      <c r="A89" s="1" t="s">
        <v>143</v>
      </c>
      <c r="B89" s="53"/>
      <c r="C89" s="39">
        <v>0</v>
      </c>
      <c r="D89" s="39">
        <f>'ต.ค.'!N89</f>
        <v>0</v>
      </c>
      <c r="E89" s="39"/>
      <c r="F89" s="39"/>
      <c r="G89" s="39"/>
      <c r="H89" s="39"/>
      <c r="I89" s="39"/>
      <c r="J89" s="39"/>
      <c r="K89" s="39"/>
      <c r="L89" s="39"/>
      <c r="M89" s="11">
        <f>SUM(C89+E89+G89+I89+K89)-(D89+F89+H89+J89+L89)</f>
        <v>0</v>
      </c>
      <c r="N89" s="11">
        <f>SUM(D89+F89+H89+J89+L89)-(C89+E89+G89+I89+K89)</f>
        <v>0</v>
      </c>
    </row>
    <row r="90" spans="1:14" ht="23.25">
      <c r="A90" s="282" t="s">
        <v>307</v>
      </c>
      <c r="B90" s="283" t="s">
        <v>168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23.25">
      <c r="A91" s="285" t="s">
        <v>308</v>
      </c>
      <c r="B91" s="8" t="s">
        <v>168</v>
      </c>
      <c r="C91" s="13">
        <f>'ต.ค.'!M91</f>
        <v>0</v>
      </c>
      <c r="D91" s="13">
        <f>'ต.ค.'!N91</f>
        <v>0</v>
      </c>
      <c r="E91" s="13"/>
      <c r="F91" s="13"/>
      <c r="G91" s="13"/>
      <c r="H91" s="13"/>
      <c r="I91" s="13"/>
      <c r="J91" s="13"/>
      <c r="K91" s="13"/>
      <c r="L91" s="13"/>
      <c r="M91" s="13">
        <v>0</v>
      </c>
      <c r="N91" s="39">
        <f t="shared" si="1"/>
        <v>0</v>
      </c>
    </row>
    <row r="92" spans="1:61" ht="24" thickBot="1">
      <c r="A92" s="3"/>
      <c r="B92" s="4"/>
      <c r="C92" s="14">
        <f aca="true" t="shared" si="2" ref="C92:N92">SUM(C6:C91)</f>
        <v>7398920.430000001</v>
      </c>
      <c r="D92" s="14">
        <f t="shared" si="2"/>
        <v>7398920.43</v>
      </c>
      <c r="E92" s="14">
        <f t="shared" si="2"/>
        <v>3296137.78</v>
      </c>
      <c r="F92" s="14">
        <f t="shared" si="2"/>
        <v>3296137.7800000003</v>
      </c>
      <c r="G92" s="14">
        <f t="shared" si="2"/>
        <v>1666130.98</v>
      </c>
      <c r="H92" s="14">
        <f t="shared" si="2"/>
        <v>1666130.98</v>
      </c>
      <c r="I92" s="14">
        <f t="shared" si="2"/>
        <v>998804.82</v>
      </c>
      <c r="J92" s="14">
        <f t="shared" si="2"/>
        <v>998804.8200000001</v>
      </c>
      <c r="K92" s="14">
        <f t="shared" si="2"/>
        <v>1893969.95</v>
      </c>
      <c r="L92" s="14">
        <f t="shared" si="2"/>
        <v>1893969.95</v>
      </c>
      <c r="M92" s="14">
        <f t="shared" si="2"/>
        <v>9984576.25</v>
      </c>
      <c r="N92" s="42">
        <f t="shared" si="2"/>
        <v>9984576.25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5"/>
      <c r="BC92" s="5"/>
      <c r="BD92" s="5"/>
      <c r="BE92" s="5"/>
      <c r="BF92" s="5"/>
      <c r="BG92" s="5"/>
      <c r="BH92" s="5"/>
      <c r="BI92" s="5"/>
    </row>
    <row r="93" spans="1:14" ht="24" thickTop="1">
      <c r="A93" s="3"/>
      <c r="B93" s="4"/>
      <c r="C93" s="15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</row>
    <row r="94" spans="1:14" ht="23.25">
      <c r="A94" s="3"/>
      <c r="B94" s="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23.25">
      <c r="A95" s="3"/>
      <c r="B95" s="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</sheetData>
  <sheetProtection/>
  <mergeCells count="9">
    <mergeCell ref="A1:N1"/>
    <mergeCell ref="A2:N2"/>
    <mergeCell ref="A4:A5"/>
    <mergeCell ref="C4:D4"/>
    <mergeCell ref="E4:F4"/>
    <mergeCell ref="G4:H4"/>
    <mergeCell ref="I4:J4"/>
    <mergeCell ref="K4:L4"/>
    <mergeCell ref="M4:N4"/>
  </mergeCells>
  <printOptions/>
  <pageMargins left="0.24" right="0.21" top="0.53" bottom="0.32" header="0.5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6"/>
  <sheetViews>
    <sheetView zoomScalePageLayoutView="0" workbookViewId="0" topLeftCell="A1">
      <pane xSplit="2" ySplit="5" topLeftCell="J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9.140625" defaultRowHeight="12.75"/>
  <cols>
    <col min="1" max="1" width="54.8515625" style="5" customWidth="1"/>
    <col min="2" max="2" width="7.7109375" style="5" customWidth="1"/>
    <col min="3" max="4" width="13.28125" style="9" customWidth="1"/>
    <col min="5" max="12" width="13.7109375" style="9" customWidth="1"/>
    <col min="13" max="13" width="13.421875" style="9" customWidth="1"/>
    <col min="14" max="14" width="15.7109375" style="9" customWidth="1"/>
    <col min="15" max="61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268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BJ3" s="5"/>
      <c r="BK3" s="5"/>
      <c r="BL3" s="5"/>
      <c r="BM3" s="5"/>
      <c r="BN3" s="5"/>
      <c r="BO3" s="5"/>
    </row>
    <row r="4" spans="1:67" ht="23.25">
      <c r="A4" s="307" t="s">
        <v>0</v>
      </c>
      <c r="B4" s="30" t="s">
        <v>77</v>
      </c>
      <c r="C4" s="305" t="s">
        <v>282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BJ4" s="5"/>
      <c r="BK4" s="5"/>
      <c r="BL4" s="5"/>
      <c r="BM4" s="5"/>
      <c r="BN4" s="5"/>
      <c r="BO4" s="5"/>
    </row>
    <row r="5" spans="1:67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BJ5" s="5"/>
      <c r="BK5" s="5"/>
      <c r="BL5" s="5"/>
      <c r="BM5" s="5"/>
      <c r="BN5" s="5"/>
      <c r="BO5" s="5"/>
    </row>
    <row r="6" spans="1:14" ht="23.25">
      <c r="A6" s="6" t="s">
        <v>51</v>
      </c>
      <c r="B6" s="7" t="s">
        <v>5</v>
      </c>
      <c r="C6" s="32">
        <f>'พ.ย'!M6</f>
        <v>0</v>
      </c>
      <c r="D6" s="11">
        <f>'พ.ย'!N6</f>
        <v>0</v>
      </c>
      <c r="E6" s="10"/>
      <c r="F6" s="10"/>
      <c r="G6" s="10"/>
      <c r="H6" s="10"/>
      <c r="I6" s="10"/>
      <c r="J6" s="10"/>
      <c r="K6" s="10"/>
      <c r="L6" s="10"/>
      <c r="M6" s="11">
        <f aca="true" t="shared" si="0" ref="M6:M68">SUM(C6+E6+G6+I6+K6)-(D6+F6+H6+J6+L6)</f>
        <v>0</v>
      </c>
      <c r="N6" s="11">
        <v>0</v>
      </c>
    </row>
    <row r="7" spans="1:16" ht="23.25">
      <c r="A7" s="1" t="s">
        <v>116</v>
      </c>
      <c r="B7" s="2" t="s">
        <v>6</v>
      </c>
      <c r="C7" s="11">
        <f>'พ.ย'!M7</f>
        <v>0</v>
      </c>
      <c r="D7" s="11">
        <f>'พ.ย'!N7</f>
        <v>289081.00000000006</v>
      </c>
      <c r="E7" s="12">
        <v>130521</v>
      </c>
      <c r="F7" s="12"/>
      <c r="G7" s="12"/>
      <c r="H7" s="12"/>
      <c r="I7" s="12"/>
      <c r="J7" s="12"/>
      <c r="K7" s="12">
        <f>259507.15+1206457.03</f>
        <v>1465964.18</v>
      </c>
      <c r="L7" s="12">
        <f>899487+406500</f>
        <v>1305987</v>
      </c>
      <c r="M7" s="11">
        <f t="shared" si="0"/>
        <v>1417.1799999999348</v>
      </c>
      <c r="N7" s="11">
        <v>0</v>
      </c>
      <c r="O7" s="52">
        <f>0-M7</f>
        <v>-1417.1799999999348</v>
      </c>
      <c r="P7" s="52"/>
    </row>
    <row r="8" spans="1:16" ht="23.25">
      <c r="A8" s="1" t="s">
        <v>130</v>
      </c>
      <c r="B8" s="2" t="s">
        <v>7</v>
      </c>
      <c r="C8" s="11">
        <f>'พ.ย'!M8</f>
        <v>2013729.4699999997</v>
      </c>
      <c r="D8" s="11">
        <f>'พ.ย'!N8</f>
        <v>0</v>
      </c>
      <c r="E8" s="11"/>
      <c r="F8" s="11"/>
      <c r="G8" s="11"/>
      <c r="H8" s="11">
        <v>899487</v>
      </c>
      <c r="I8" s="11"/>
      <c r="J8" s="11"/>
      <c r="K8" s="11">
        <v>899487</v>
      </c>
      <c r="L8" s="11">
        <f>259507.15+1206457.03</f>
        <v>1465964.18</v>
      </c>
      <c r="M8" s="11">
        <f t="shared" si="0"/>
        <v>547765.29</v>
      </c>
      <c r="N8" s="11">
        <v>0</v>
      </c>
      <c r="O8" s="52">
        <f>547765.29-M8</f>
        <v>0</v>
      </c>
      <c r="P8" s="52"/>
    </row>
    <row r="9" spans="1:16" ht="23.25">
      <c r="A9" s="1" t="s">
        <v>134</v>
      </c>
      <c r="B9" s="2" t="s">
        <v>7</v>
      </c>
      <c r="C9" s="11">
        <f>'พ.ย'!M9</f>
        <v>0</v>
      </c>
      <c r="D9" s="11">
        <f>'พ.ย'!N9</f>
        <v>0</v>
      </c>
      <c r="E9" s="11"/>
      <c r="F9" s="11"/>
      <c r="G9" s="11"/>
      <c r="H9" s="11">
        <v>1628725.28</v>
      </c>
      <c r="I9" s="11"/>
      <c r="J9" s="11"/>
      <c r="K9" s="11">
        <v>1628725.28</v>
      </c>
      <c r="L9" s="11"/>
      <c r="M9" s="11">
        <f t="shared" si="0"/>
        <v>0</v>
      </c>
      <c r="N9" s="11">
        <f>SUM(D9+F9+H9+J9+L9)-(C9+E9+G9+I9+K9)</f>
        <v>0</v>
      </c>
      <c r="O9" s="52"/>
      <c r="P9" s="52"/>
    </row>
    <row r="10" spans="1:15" ht="23.25">
      <c r="A10" s="1" t="s">
        <v>117</v>
      </c>
      <c r="B10" s="2" t="s">
        <v>8</v>
      </c>
      <c r="C10" s="11">
        <f>'พ.ย'!M10</f>
        <v>5358806.02</v>
      </c>
      <c r="D10" s="11">
        <f>'พ.ย'!N10</f>
        <v>0</v>
      </c>
      <c r="E10" s="11">
        <v>4911463.34</v>
      </c>
      <c r="F10" s="11"/>
      <c r="G10" s="11"/>
      <c r="H10" s="11"/>
      <c r="I10" s="11"/>
      <c r="J10" s="11"/>
      <c r="K10" s="11">
        <v>406500</v>
      </c>
      <c r="L10" s="11">
        <f>1628725.28</f>
        <v>1628725.28</v>
      </c>
      <c r="M10" s="11">
        <f t="shared" si="0"/>
        <v>9048044.08</v>
      </c>
      <c r="N10" s="11">
        <v>0</v>
      </c>
      <c r="O10" s="52">
        <f>9172221.51-M10</f>
        <v>124177.4299999997</v>
      </c>
    </row>
    <row r="11" spans="1:16" ht="23.25">
      <c r="A11" s="1" t="s">
        <v>128</v>
      </c>
      <c r="B11" s="2" t="s">
        <v>8</v>
      </c>
      <c r="C11" s="11">
        <f>'พ.ย'!M11</f>
        <v>903028.85</v>
      </c>
      <c r="D11" s="11">
        <f>'พ.ย'!N11</f>
        <v>0</v>
      </c>
      <c r="E11" s="11"/>
      <c r="F11" s="11"/>
      <c r="G11" s="11"/>
      <c r="H11" s="11"/>
      <c r="I11" s="11"/>
      <c r="J11" s="11"/>
      <c r="K11" s="11"/>
      <c r="L11" s="11"/>
      <c r="M11" s="11">
        <f t="shared" si="0"/>
        <v>903028.85</v>
      </c>
      <c r="N11" s="11">
        <v>0</v>
      </c>
      <c r="O11" s="52"/>
      <c r="P11" s="52"/>
    </row>
    <row r="12" spans="1:16" ht="23.25">
      <c r="A12" s="1" t="s">
        <v>131</v>
      </c>
      <c r="B12" s="2" t="s">
        <v>8</v>
      </c>
      <c r="C12" s="11">
        <f>'พ.ย'!M12</f>
        <v>1619.03</v>
      </c>
      <c r="D12" s="11">
        <f>'พ.ย'!N12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1619.03</v>
      </c>
      <c r="N12" s="11">
        <v>0</v>
      </c>
      <c r="O12" s="52">
        <v>0</v>
      </c>
      <c r="P12" s="52"/>
    </row>
    <row r="13" spans="1:16" ht="23.25">
      <c r="A13" s="1" t="s">
        <v>39</v>
      </c>
      <c r="B13" s="2" t="s">
        <v>40</v>
      </c>
      <c r="C13" s="11">
        <f>'พ.ย'!M13</f>
        <v>2000</v>
      </c>
      <c r="D13" s="11">
        <f>'พ.ย'!N13</f>
        <v>0</v>
      </c>
      <c r="E13" s="11"/>
      <c r="F13" s="11">
        <v>44795</v>
      </c>
      <c r="G13" s="11">
        <v>237000</v>
      </c>
      <c r="H13" s="11"/>
      <c r="I13" s="11"/>
      <c r="J13" s="11"/>
      <c r="K13" s="11"/>
      <c r="L13" s="11">
        <v>192205</v>
      </c>
      <c r="M13" s="11">
        <f t="shared" si="0"/>
        <v>2000</v>
      </c>
      <c r="N13" s="11">
        <v>0</v>
      </c>
      <c r="O13" s="52">
        <f>M8+M7</f>
        <v>549182.47</v>
      </c>
      <c r="P13" s="5">
        <f>120000+86000+23000+8000</f>
        <v>237000</v>
      </c>
    </row>
    <row r="14" spans="1:15" ht="23.25">
      <c r="A14" s="1" t="s">
        <v>110</v>
      </c>
      <c r="B14" s="2" t="s">
        <v>111</v>
      </c>
      <c r="C14" s="11">
        <f>'พ.ย'!M14</f>
        <v>0</v>
      </c>
      <c r="D14" s="11">
        <f>'พ.ย'!N14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  <c r="O14" s="52">
        <f>550508.51-O13</f>
        <v>1326.0400000000373</v>
      </c>
    </row>
    <row r="15" spans="1:15" ht="23.25">
      <c r="A15" s="1" t="s">
        <v>52</v>
      </c>
      <c r="B15" s="2" t="s">
        <v>9</v>
      </c>
      <c r="C15" s="11">
        <f>'พ.ย'!M15</f>
        <v>8094</v>
      </c>
      <c r="D15" s="11">
        <f>'พ.ย'!N15</f>
        <v>0</v>
      </c>
      <c r="E15" s="11"/>
      <c r="F15" s="11"/>
      <c r="G15" s="11">
        <v>8094</v>
      </c>
      <c r="H15" s="11"/>
      <c r="I15" s="11"/>
      <c r="J15" s="11"/>
      <c r="K15" s="11"/>
      <c r="L15" s="11"/>
      <c r="M15" s="11">
        <f t="shared" si="0"/>
        <v>16188</v>
      </c>
      <c r="N15" s="11">
        <v>0</v>
      </c>
      <c r="O15" s="52"/>
    </row>
    <row r="16" spans="1:14" ht="23.25">
      <c r="A16" s="6" t="s">
        <v>10</v>
      </c>
      <c r="B16" s="7" t="s">
        <v>11</v>
      </c>
      <c r="C16" s="11">
        <f>'พ.ย'!M16</f>
        <v>466355</v>
      </c>
      <c r="D16" s="11">
        <f>'พ.ย'!N16</f>
        <v>0</v>
      </c>
      <c r="E16" s="11"/>
      <c r="F16" s="11"/>
      <c r="G16" s="11">
        <v>222800</v>
      </c>
      <c r="H16" s="11"/>
      <c r="I16" s="11"/>
      <c r="J16" s="11"/>
      <c r="K16" s="11"/>
      <c r="L16" s="11"/>
      <c r="M16" s="11">
        <f t="shared" si="0"/>
        <v>689155</v>
      </c>
      <c r="N16" s="11">
        <v>0</v>
      </c>
    </row>
    <row r="17" spans="1:14" ht="23.25">
      <c r="A17" s="1" t="s">
        <v>12</v>
      </c>
      <c r="B17" s="2" t="s">
        <v>13</v>
      </c>
      <c r="C17" s="11">
        <f>'พ.ย'!M17</f>
        <v>0</v>
      </c>
      <c r="D17" s="11">
        <f>'พ.ย'!N17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f>SUM(D17+F17+H17+J17+L17)-(C17+E17+G17+I17+K17)</f>
        <v>0</v>
      </c>
    </row>
    <row r="18" spans="1:14" ht="23.25">
      <c r="A18" s="1" t="s">
        <v>14</v>
      </c>
      <c r="B18" s="2" t="s">
        <v>15</v>
      </c>
      <c r="C18" s="11">
        <f>'พ.ย'!M18</f>
        <v>269960</v>
      </c>
      <c r="D18" s="11">
        <f>'พ.ย'!N18</f>
        <v>0</v>
      </c>
      <c r="E18" s="11"/>
      <c r="F18" s="11"/>
      <c r="G18" s="11">
        <v>134980</v>
      </c>
      <c r="H18" s="11"/>
      <c r="I18" s="11"/>
      <c r="J18" s="11"/>
      <c r="K18" s="11"/>
      <c r="L18" s="11"/>
      <c r="M18" s="11">
        <f t="shared" si="0"/>
        <v>404940</v>
      </c>
      <c r="N18" s="11">
        <v>0</v>
      </c>
    </row>
    <row r="19" spans="1:14" ht="23.25">
      <c r="A19" s="1" t="s">
        <v>16</v>
      </c>
      <c r="B19" s="2" t="s">
        <v>17</v>
      </c>
      <c r="C19" s="11">
        <f>'พ.ย'!M19</f>
        <v>547944</v>
      </c>
      <c r="D19" s="11">
        <f>'พ.ย'!N19</f>
        <v>0</v>
      </c>
      <c r="E19" s="11"/>
      <c r="F19" s="11"/>
      <c r="G19" s="11">
        <v>313013</v>
      </c>
      <c r="H19" s="11"/>
      <c r="I19" s="11"/>
      <c r="J19" s="11"/>
      <c r="K19" s="11"/>
      <c r="L19" s="11"/>
      <c r="M19" s="11">
        <f t="shared" si="0"/>
        <v>860957</v>
      </c>
      <c r="N19" s="11">
        <v>0</v>
      </c>
    </row>
    <row r="20" spans="1:14" ht="23.25">
      <c r="A20" s="1" t="s">
        <v>18</v>
      </c>
      <c r="B20" s="2" t="s">
        <v>19</v>
      </c>
      <c r="C20" s="11">
        <f>'พ.ย'!M20</f>
        <v>366319.83</v>
      </c>
      <c r="D20" s="11">
        <f>'พ.ย'!N20</f>
        <v>0</v>
      </c>
      <c r="E20" s="11"/>
      <c r="F20" s="11"/>
      <c r="G20" s="11">
        <v>137610</v>
      </c>
      <c r="H20" s="11"/>
      <c r="I20" s="11"/>
      <c r="J20" s="11"/>
      <c r="K20" s="11">
        <v>192205</v>
      </c>
      <c r="L20" s="11"/>
      <c r="M20" s="11">
        <f t="shared" si="0"/>
        <v>696134.8300000001</v>
      </c>
      <c r="N20" s="11">
        <v>0</v>
      </c>
    </row>
    <row r="21" spans="1:14" ht="23.25">
      <c r="A21" s="1" t="s">
        <v>20</v>
      </c>
      <c r="B21" s="2" t="s">
        <v>21</v>
      </c>
      <c r="C21" s="11">
        <f>'พ.ย'!M21</f>
        <v>20290</v>
      </c>
      <c r="D21" s="11">
        <f>'พ.ย'!N21</f>
        <v>0</v>
      </c>
      <c r="E21" s="12"/>
      <c r="F21" s="12"/>
      <c r="G21" s="12">
        <v>41334.05</v>
      </c>
      <c r="H21" s="12"/>
      <c r="I21" s="12"/>
      <c r="J21" s="12"/>
      <c r="K21" s="12"/>
      <c r="L21" s="12"/>
      <c r="M21" s="11">
        <f t="shared" si="0"/>
        <v>61624.05</v>
      </c>
      <c r="N21" s="11">
        <v>0</v>
      </c>
    </row>
    <row r="22" spans="1:14" ht="23.25">
      <c r="A22" s="1" t="s">
        <v>22</v>
      </c>
      <c r="B22" s="2" t="s">
        <v>23</v>
      </c>
      <c r="C22" s="11">
        <f>'พ.ย'!M22</f>
        <v>18900.48</v>
      </c>
      <c r="D22" s="11">
        <f>'พ.ย'!N22</f>
        <v>0</v>
      </c>
      <c r="E22" s="11"/>
      <c r="F22" s="11"/>
      <c r="G22" s="11">
        <v>10348.63</v>
      </c>
      <c r="H22" s="11"/>
      <c r="I22" s="11"/>
      <c r="J22" s="11"/>
      <c r="K22" s="11"/>
      <c r="L22" s="11"/>
      <c r="M22" s="11">
        <f t="shared" si="0"/>
        <v>29249.11</v>
      </c>
      <c r="N22" s="11">
        <v>0</v>
      </c>
    </row>
    <row r="23" spans="1:14" ht="23.25">
      <c r="A23" s="1" t="s">
        <v>24</v>
      </c>
      <c r="B23" s="2" t="s">
        <v>25</v>
      </c>
      <c r="C23" s="11">
        <f>'พ.ย'!M23</f>
        <v>0</v>
      </c>
      <c r="D23" s="11">
        <f>'พ.ย'!N23</f>
        <v>0</v>
      </c>
      <c r="E23" s="11"/>
      <c r="F23" s="11"/>
      <c r="G23" s="11"/>
      <c r="H23" s="11"/>
      <c r="I23" s="11"/>
      <c r="J23" s="11"/>
      <c r="K23" s="11"/>
      <c r="L23" s="11"/>
      <c r="M23" s="11">
        <f t="shared" si="0"/>
        <v>0</v>
      </c>
      <c r="N23" s="11">
        <v>0</v>
      </c>
    </row>
    <row r="24" spans="1:14" ht="23.25">
      <c r="A24" s="1" t="s">
        <v>26</v>
      </c>
      <c r="B24" s="2" t="s">
        <v>27</v>
      </c>
      <c r="C24" s="11">
        <f>'พ.ย'!M24</f>
        <v>0</v>
      </c>
      <c r="D24" s="11">
        <f>'พ.ย'!N24</f>
        <v>0</v>
      </c>
      <c r="E24" s="11"/>
      <c r="F24" s="11"/>
      <c r="G24" s="11"/>
      <c r="H24" s="11"/>
      <c r="I24" s="11"/>
      <c r="J24" s="11"/>
      <c r="K24" s="11"/>
      <c r="L24" s="11"/>
      <c r="M24" s="11">
        <f t="shared" si="0"/>
        <v>0</v>
      </c>
      <c r="N24" s="11">
        <v>0</v>
      </c>
    </row>
    <row r="25" spans="1:14" ht="23.25">
      <c r="A25" s="1" t="s">
        <v>28</v>
      </c>
      <c r="B25" s="2" t="s">
        <v>29</v>
      </c>
      <c r="C25" s="11">
        <f>'พ.ย'!M25</f>
        <v>0</v>
      </c>
      <c r="D25" s="11">
        <f>'พ.ย'!N25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'พ.ย'!M26</f>
        <v>0</v>
      </c>
      <c r="D26" s="11">
        <f>'พ.ย'!N26</f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0</v>
      </c>
      <c r="N26" s="11">
        <v>0</v>
      </c>
    </row>
    <row r="27" spans="1:14" ht="23.25">
      <c r="A27" s="1" t="s">
        <v>41</v>
      </c>
      <c r="B27" s="2" t="s">
        <v>42</v>
      </c>
      <c r="C27" s="11">
        <f>'พ.ย'!M27</f>
        <v>0</v>
      </c>
      <c r="D27" s="11">
        <f>'พ.ย'!N27</f>
        <v>610000</v>
      </c>
      <c r="E27" s="11"/>
      <c r="F27" s="11"/>
      <c r="G27" s="11">
        <v>610000</v>
      </c>
      <c r="H27" s="11"/>
      <c r="I27" s="11"/>
      <c r="J27" s="11"/>
      <c r="K27" s="11"/>
      <c r="L27" s="11"/>
      <c r="M27" s="11">
        <v>0</v>
      </c>
      <c r="N27" s="11">
        <f aca="true" t="shared" si="1" ref="N27:N91">SUM(D27+F27+H27+J27+L27)-(C27+E27+G27+I27+K27)</f>
        <v>0</v>
      </c>
    </row>
    <row r="28" spans="1:14" ht="23.25">
      <c r="A28" s="1" t="s">
        <v>44</v>
      </c>
      <c r="B28" s="2" t="s">
        <v>30</v>
      </c>
      <c r="C28" s="11">
        <f>'พ.ย'!M28</f>
        <v>0</v>
      </c>
      <c r="D28" s="11">
        <f>'พ.ย'!N28</f>
        <v>3153373.51</v>
      </c>
      <c r="E28" s="11"/>
      <c r="F28" s="11">
        <v>264</v>
      </c>
      <c r="G28" s="11">
        <v>270287</v>
      </c>
      <c r="H28" s="11"/>
      <c r="I28" s="11"/>
      <c r="J28" s="11"/>
      <c r="K28" s="11">
        <v>8102.6</v>
      </c>
      <c r="L28" s="11"/>
      <c r="M28" s="11">
        <v>0</v>
      </c>
      <c r="N28" s="11">
        <f t="shared" si="1"/>
        <v>2875247.9099999997</v>
      </c>
    </row>
    <row r="29" spans="1:14" ht="23.25">
      <c r="A29" s="1" t="s">
        <v>45</v>
      </c>
      <c r="B29" s="2" t="s">
        <v>43</v>
      </c>
      <c r="C29" s="11">
        <f>'พ.ย'!M29</f>
        <v>0</v>
      </c>
      <c r="D29" s="11">
        <f>'พ.ย'!N29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53</v>
      </c>
      <c r="B30" s="2" t="s">
        <v>31</v>
      </c>
      <c r="C30" s="11">
        <f>'พ.ย'!M30</f>
        <v>0</v>
      </c>
      <c r="D30" s="11">
        <f>'พ.ย'!N30</f>
        <v>0</v>
      </c>
      <c r="E30" s="11"/>
      <c r="F30" s="11"/>
      <c r="G30" s="11"/>
      <c r="H30" s="11"/>
      <c r="I30" s="11"/>
      <c r="J30" s="11"/>
      <c r="K30" s="11"/>
      <c r="L30" s="11"/>
      <c r="M30" s="11">
        <f t="shared" si="0"/>
        <v>0</v>
      </c>
      <c r="N30" s="11">
        <v>0</v>
      </c>
    </row>
    <row r="31" spans="1:14" ht="23.25">
      <c r="A31" s="1" t="s">
        <v>32</v>
      </c>
      <c r="B31" s="2" t="s">
        <v>33</v>
      </c>
      <c r="C31" s="11">
        <f>'พ.ย'!M31</f>
        <v>0</v>
      </c>
      <c r="D31" s="11">
        <f>'พ.ย'!N31</f>
        <v>0</v>
      </c>
      <c r="E31" s="11"/>
      <c r="F31" s="11">
        <v>4866404.34</v>
      </c>
      <c r="G31" s="11"/>
      <c r="H31" s="11"/>
      <c r="I31" s="11">
        <v>4866404.34</v>
      </c>
      <c r="J31" s="11"/>
      <c r="K31" s="11"/>
      <c r="L31" s="11"/>
      <c r="M31" s="11">
        <v>0</v>
      </c>
      <c r="N31" s="11">
        <f t="shared" si="1"/>
        <v>0</v>
      </c>
    </row>
    <row r="32" spans="1:14" ht="23.25">
      <c r="A32" s="1" t="s">
        <v>35</v>
      </c>
      <c r="B32" s="2" t="s">
        <v>46</v>
      </c>
      <c r="C32" s="11">
        <f>'พ.ย'!M32</f>
        <v>0</v>
      </c>
      <c r="D32" s="11">
        <f>'พ.ย'!N32</f>
        <v>0</v>
      </c>
      <c r="E32" s="11"/>
      <c r="F32" s="11"/>
      <c r="G32" s="11"/>
      <c r="H32" s="11"/>
      <c r="I32" s="11"/>
      <c r="J32" s="11"/>
      <c r="K32" s="11"/>
      <c r="L32" s="11"/>
      <c r="M32" s="11">
        <f t="shared" si="0"/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'พ.ย'!M33</f>
        <v>0</v>
      </c>
      <c r="D33" s="11">
        <f>'พ.ย'!N33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'พ.ย'!M34</f>
        <v>0</v>
      </c>
      <c r="D34" s="11"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'พ.ย'!M35</f>
        <v>7529.570000000001</v>
      </c>
      <c r="D35" s="11">
        <f>'พ.ย'!N35</f>
        <v>0</v>
      </c>
      <c r="E35" s="11"/>
      <c r="F35" s="11"/>
      <c r="G35" s="11">
        <v>573.03</v>
      </c>
      <c r="H35" s="11">
        <v>2309.43</v>
      </c>
      <c r="I35" s="11"/>
      <c r="J35" s="11"/>
      <c r="K35" s="11"/>
      <c r="L35" s="11">
        <v>8102.6</v>
      </c>
      <c r="M35" s="11">
        <v>0</v>
      </c>
      <c r="N35" s="11">
        <f t="shared" si="1"/>
        <v>2309.4300000000003</v>
      </c>
    </row>
    <row r="36" spans="1:15" ht="23.25">
      <c r="A36" s="6" t="s">
        <v>72</v>
      </c>
      <c r="B36" s="7">
        <v>903</v>
      </c>
      <c r="C36" s="11">
        <f>'พ.ย'!M36</f>
        <v>0</v>
      </c>
      <c r="D36" s="11">
        <f>'พ.ย'!N36</f>
        <v>454301.5</v>
      </c>
      <c r="E36" s="11"/>
      <c r="F36" s="11"/>
      <c r="G36" s="11"/>
      <c r="H36" s="11"/>
      <c r="I36" s="11"/>
      <c r="J36" s="11"/>
      <c r="K36" s="11"/>
      <c r="L36" s="11"/>
      <c r="M36" s="11">
        <v>0</v>
      </c>
      <c r="N36" s="11">
        <f t="shared" si="1"/>
        <v>454301.5</v>
      </c>
      <c r="O36" s="52"/>
    </row>
    <row r="37" spans="1:14" ht="23.25">
      <c r="A37" s="1" t="s">
        <v>73</v>
      </c>
      <c r="B37" s="2">
        <v>904</v>
      </c>
      <c r="C37" s="11">
        <f>'พ.ย'!M37</f>
        <v>0</v>
      </c>
      <c r="D37" s="11">
        <f>'พ.ย'!N37</f>
        <v>0</v>
      </c>
      <c r="E37" s="11"/>
      <c r="F37" s="11"/>
      <c r="G37" s="11">
        <v>1690</v>
      </c>
      <c r="H37" s="11"/>
      <c r="I37" s="11"/>
      <c r="J37" s="11"/>
      <c r="K37" s="11"/>
      <c r="L37" s="11"/>
      <c r="M37" s="11">
        <f t="shared" si="0"/>
        <v>1690</v>
      </c>
      <c r="N37" s="11">
        <v>0</v>
      </c>
    </row>
    <row r="38" spans="1:14" ht="23.25">
      <c r="A38" s="1" t="s">
        <v>74</v>
      </c>
      <c r="B38" s="2" t="s">
        <v>49</v>
      </c>
      <c r="C38" s="11">
        <f>'พ.ย'!M38</f>
        <v>0</v>
      </c>
      <c r="D38" s="11">
        <f>'พ.ย'!N38</f>
        <v>0</v>
      </c>
      <c r="E38" s="11"/>
      <c r="F38" s="11"/>
      <c r="G38" s="11"/>
      <c r="H38" s="11"/>
      <c r="I38" s="11"/>
      <c r="J38" s="11"/>
      <c r="K38" s="11"/>
      <c r="L38" s="11"/>
      <c r="M38" s="11">
        <f t="shared" si="0"/>
        <v>0</v>
      </c>
      <c r="N38" s="11">
        <f t="shared" si="1"/>
        <v>0</v>
      </c>
    </row>
    <row r="39" spans="1:14" ht="23.25">
      <c r="A39" s="1" t="s">
        <v>75</v>
      </c>
      <c r="B39" s="2" t="s">
        <v>50</v>
      </c>
      <c r="C39" s="11">
        <f>'พ.ย'!M39</f>
        <v>0</v>
      </c>
      <c r="D39" s="11">
        <f>'พ.ย'!N39</f>
        <v>0</v>
      </c>
      <c r="E39" s="11"/>
      <c r="F39" s="11"/>
      <c r="G39" s="11"/>
      <c r="H39" s="11"/>
      <c r="I39" s="11"/>
      <c r="J39" s="11"/>
      <c r="K39" s="11"/>
      <c r="L39" s="11"/>
      <c r="M39" s="11">
        <f t="shared" si="0"/>
        <v>0</v>
      </c>
      <c r="N39" s="11">
        <f t="shared" si="1"/>
        <v>0</v>
      </c>
    </row>
    <row r="40" spans="1:14" ht="23.25">
      <c r="A40" s="1" t="s">
        <v>54</v>
      </c>
      <c r="B40" s="2">
        <v>900</v>
      </c>
      <c r="C40" s="11">
        <f>'พ.ย'!M40</f>
        <v>0</v>
      </c>
      <c r="D40" s="11">
        <f>'พ.ย'!N40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'พ.ย'!M41</f>
        <v>0</v>
      </c>
      <c r="D41" s="11">
        <f>'พ.ย'!N41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v>0</v>
      </c>
      <c r="N41" s="11">
        <f t="shared" si="1"/>
        <v>0</v>
      </c>
    </row>
    <row r="42" spans="1:14" ht="23.25">
      <c r="A42" s="1" t="s">
        <v>56</v>
      </c>
      <c r="B42" s="2">
        <v>900</v>
      </c>
      <c r="C42" s="11">
        <f>'พ.ย'!M42</f>
        <v>0</v>
      </c>
      <c r="D42" s="11">
        <f>'พ.ย'!N42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'พ.ย'!M43</f>
        <v>0</v>
      </c>
      <c r="D43" s="11">
        <f>'พ.ย'!N43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'พ.ย'!M44</f>
        <v>0</v>
      </c>
      <c r="D44" s="11">
        <f>'พ.ย'!N44</f>
        <v>0</v>
      </c>
      <c r="E44" s="11"/>
      <c r="F44" s="11">
        <v>99840</v>
      </c>
      <c r="G44" s="11">
        <v>99840</v>
      </c>
      <c r="H44" s="11"/>
      <c r="I44" s="11"/>
      <c r="J44" s="11"/>
      <c r="K44" s="11"/>
      <c r="L44" s="11"/>
      <c r="M44" s="11">
        <f t="shared" si="0"/>
        <v>0</v>
      </c>
      <c r="N44" s="11">
        <v>0</v>
      </c>
    </row>
    <row r="45" spans="1:14" ht="23.25">
      <c r="A45" s="6" t="s">
        <v>58</v>
      </c>
      <c r="B45" s="2">
        <v>900</v>
      </c>
      <c r="C45" s="11">
        <f>'พ.ย'!M45</f>
        <v>0</v>
      </c>
      <c r="D45" s="11">
        <f>'พ.ย'!N45</f>
        <v>0</v>
      </c>
      <c r="E45" s="11"/>
      <c r="F45" s="11">
        <v>26880</v>
      </c>
      <c r="G45" s="11">
        <v>26880</v>
      </c>
      <c r="H45" s="11"/>
      <c r="I45" s="11"/>
      <c r="J45" s="11"/>
      <c r="K45" s="11"/>
      <c r="L45" s="11"/>
      <c r="M45" s="11">
        <f t="shared" si="0"/>
        <v>0</v>
      </c>
      <c r="N45" s="11">
        <v>0</v>
      </c>
    </row>
    <row r="46" spans="1:14" ht="23.25">
      <c r="A46" s="1" t="s">
        <v>158</v>
      </c>
      <c r="B46" s="2">
        <v>900</v>
      </c>
      <c r="C46" s="11">
        <f>'พ.ย'!M46</f>
        <v>0</v>
      </c>
      <c r="D46" s="11">
        <f>'พ.ย'!N46</f>
        <v>0</v>
      </c>
      <c r="E46" s="11"/>
      <c r="F46" s="11">
        <v>3801</v>
      </c>
      <c r="G46" s="11"/>
      <c r="H46" s="11"/>
      <c r="I46" s="11"/>
      <c r="J46" s="11"/>
      <c r="K46" s="11"/>
      <c r="L46" s="11"/>
      <c r="M46" s="11">
        <v>0</v>
      </c>
      <c r="N46" s="11">
        <f t="shared" si="1"/>
        <v>3801</v>
      </c>
    </row>
    <row r="47" spans="1:14" ht="23.25">
      <c r="A47" s="1" t="s">
        <v>166</v>
      </c>
      <c r="B47" s="2">
        <v>900</v>
      </c>
      <c r="C47" s="11">
        <f>'พ.ย'!M47</f>
        <v>0</v>
      </c>
      <c r="D47" s="11">
        <f>'พ.ย'!N47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'พ.ย'!M48</f>
        <v>0</v>
      </c>
      <c r="D48" s="11">
        <f>'พ.ย'!N48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f t="shared" si="0"/>
        <v>0</v>
      </c>
      <c r="N48" s="11">
        <f t="shared" si="1"/>
        <v>0</v>
      </c>
    </row>
    <row r="49" spans="1:15" ht="23.25">
      <c r="A49" s="1" t="s">
        <v>61</v>
      </c>
      <c r="B49" s="2" t="s">
        <v>34</v>
      </c>
      <c r="C49" s="11">
        <f>'พ.ย'!M49</f>
        <v>0</v>
      </c>
      <c r="D49" s="11">
        <f>'พ.ย'!N49</f>
        <v>889854</v>
      </c>
      <c r="E49" s="11"/>
      <c r="F49" s="11"/>
      <c r="G49" s="11"/>
      <c r="H49" s="11"/>
      <c r="I49" s="11"/>
      <c r="J49" s="11"/>
      <c r="K49" s="11"/>
      <c r="L49" s="11"/>
      <c r="M49" s="11">
        <v>0</v>
      </c>
      <c r="N49" s="11">
        <f t="shared" si="1"/>
        <v>889854</v>
      </c>
      <c r="O49" s="52"/>
    </row>
    <row r="50" spans="1:14" ht="23.25">
      <c r="A50" s="1" t="s">
        <v>62</v>
      </c>
      <c r="B50" s="2" t="s">
        <v>34</v>
      </c>
      <c r="C50" s="11">
        <f>'พ.ย'!M50</f>
        <v>0</v>
      </c>
      <c r="D50" s="11">
        <f>'พ.ย'!N50</f>
        <v>13174.85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13174.85</v>
      </c>
    </row>
    <row r="51" spans="1:14" ht="23.25">
      <c r="A51" s="1" t="s">
        <v>144</v>
      </c>
      <c r="B51" s="2">
        <v>900</v>
      </c>
      <c r="C51" s="11">
        <f>'พ.ย'!M51</f>
        <v>0</v>
      </c>
      <c r="D51" s="11">
        <f>'พ.ย'!N51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f t="shared" si="0"/>
        <v>0</v>
      </c>
      <c r="N51" s="11">
        <f t="shared" si="1"/>
        <v>0</v>
      </c>
    </row>
    <row r="52" spans="1:14" ht="23.25">
      <c r="A52" s="1" t="s">
        <v>64</v>
      </c>
      <c r="B52" s="2">
        <v>900</v>
      </c>
      <c r="C52" s="11">
        <f>'พ.ย'!M52</f>
        <v>0</v>
      </c>
      <c r="D52" s="11">
        <f>'พ.ย'!N52</f>
        <v>2000</v>
      </c>
      <c r="E52" s="11"/>
      <c r="F52" s="11"/>
      <c r="G52" s="11"/>
      <c r="H52" s="11"/>
      <c r="I52" s="11"/>
      <c r="J52" s="11"/>
      <c r="K52" s="11"/>
      <c r="L52" s="11"/>
      <c r="M52" s="11">
        <v>0</v>
      </c>
      <c r="N52" s="11">
        <f t="shared" si="1"/>
        <v>2000</v>
      </c>
    </row>
    <row r="53" spans="1:14" ht="23.25">
      <c r="A53" s="1" t="s">
        <v>65</v>
      </c>
      <c r="B53" s="2">
        <v>900</v>
      </c>
      <c r="C53" s="11">
        <f>'พ.ย'!M53</f>
        <v>0</v>
      </c>
      <c r="D53" s="11">
        <f>'พ.ย'!N53</f>
        <v>0</v>
      </c>
      <c r="E53" s="11"/>
      <c r="F53" s="11"/>
      <c r="G53" s="11"/>
      <c r="H53" s="11"/>
      <c r="I53" s="11"/>
      <c r="J53" s="11"/>
      <c r="K53" s="11"/>
      <c r="L53" s="11"/>
      <c r="M53" s="11">
        <v>0</v>
      </c>
      <c r="N53" s="11">
        <f t="shared" si="1"/>
        <v>0</v>
      </c>
    </row>
    <row r="54" spans="1:14" ht="23.25">
      <c r="A54" s="1" t="s">
        <v>66</v>
      </c>
      <c r="B54" s="2">
        <v>900</v>
      </c>
      <c r="C54" s="11">
        <f>'พ.ย'!M54</f>
        <v>0</v>
      </c>
      <c r="D54" s="11">
        <f>'พ.ย'!N54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f>'พ.ย'!M55</f>
        <v>0</v>
      </c>
      <c r="D55" s="11">
        <f>'พ.ย'!N55</f>
        <v>0</v>
      </c>
      <c r="E55" s="11"/>
      <c r="F55" s="11"/>
      <c r="G55" s="11"/>
      <c r="H55" s="11"/>
      <c r="I55" s="11"/>
      <c r="J55" s="11"/>
      <c r="K55" s="11"/>
      <c r="L55" s="11"/>
      <c r="M55" s="11">
        <f t="shared" si="0"/>
        <v>0</v>
      </c>
      <c r="N55" s="11">
        <f t="shared" si="1"/>
        <v>0</v>
      </c>
    </row>
    <row r="56" spans="1:14" ht="23.25">
      <c r="A56" s="1" t="s">
        <v>142</v>
      </c>
      <c r="B56" s="2" t="s">
        <v>34</v>
      </c>
      <c r="C56" s="11">
        <f>'พ.ย'!M56</f>
        <v>0</v>
      </c>
      <c r="D56" s="11">
        <f>'พ.ย'!N56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'พ.ย'!M57</f>
        <v>0</v>
      </c>
      <c r="D57" s="11">
        <f>'พ.ย'!N57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69</v>
      </c>
      <c r="B58" s="2" t="s">
        <v>34</v>
      </c>
      <c r="C58" s="11">
        <f>'พ.ย'!M58</f>
        <v>0</v>
      </c>
      <c r="D58" s="11">
        <f>'พ.ย'!N58</f>
        <v>0</v>
      </c>
      <c r="E58" s="12"/>
      <c r="F58" s="12"/>
      <c r="G58" s="12"/>
      <c r="H58" s="12"/>
      <c r="I58" s="12"/>
      <c r="J58" s="12"/>
      <c r="K58" s="12"/>
      <c r="L58" s="12"/>
      <c r="M58" s="11">
        <f t="shared" si="0"/>
        <v>0</v>
      </c>
      <c r="N58" s="11">
        <f t="shared" si="1"/>
        <v>0</v>
      </c>
    </row>
    <row r="59" spans="1:14" ht="23.25">
      <c r="A59" s="1" t="s">
        <v>70</v>
      </c>
      <c r="B59" s="2" t="s">
        <v>34</v>
      </c>
      <c r="C59" s="11">
        <f>'พ.ย'!M59</f>
        <v>0</v>
      </c>
      <c r="D59" s="11">
        <f>'พ.ย'!N59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f t="shared" si="0"/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'พ.ย'!M60</f>
        <v>0</v>
      </c>
      <c r="D60" s="11">
        <f>'พ.ย'!N60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f>'พ.ย'!M61</f>
        <v>0</v>
      </c>
      <c r="D61" s="11">
        <f>'พ.ย'!N61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'พ.ย'!M62</f>
        <v>0</v>
      </c>
      <c r="D62" s="11">
        <f>'พ.ย'!N62</f>
        <v>0</v>
      </c>
      <c r="E62" s="11"/>
      <c r="F62" s="11"/>
      <c r="G62" s="11"/>
      <c r="H62" s="11"/>
      <c r="I62" s="11"/>
      <c r="J62" s="11"/>
      <c r="K62" s="11"/>
      <c r="L62" s="11"/>
      <c r="M62" s="11">
        <f t="shared" si="0"/>
        <v>0</v>
      </c>
      <c r="N62" s="11">
        <v>0</v>
      </c>
    </row>
    <row r="63" spans="1:14" ht="23.25">
      <c r="A63" s="1" t="s">
        <v>278</v>
      </c>
      <c r="B63" s="2" t="s">
        <v>167</v>
      </c>
      <c r="C63" s="11">
        <f>'พ.ย'!M63</f>
        <v>0</v>
      </c>
      <c r="D63" s="11">
        <f>'พ.ย'!N63</f>
        <v>202470</v>
      </c>
      <c r="E63" s="11"/>
      <c r="F63" s="11"/>
      <c r="G63" s="11">
        <v>98572</v>
      </c>
      <c r="H63" s="11"/>
      <c r="I63" s="11"/>
      <c r="J63" s="11"/>
      <c r="K63" s="11"/>
      <c r="L63" s="11"/>
      <c r="M63" s="11">
        <v>0</v>
      </c>
      <c r="N63" s="11">
        <f t="shared" si="1"/>
        <v>103898</v>
      </c>
    </row>
    <row r="64" spans="1:14" ht="23.25">
      <c r="A64" s="1" t="s">
        <v>277</v>
      </c>
      <c r="B64" s="2" t="s">
        <v>163</v>
      </c>
      <c r="C64" s="11">
        <f>'พ.ย'!M64</f>
        <v>0</v>
      </c>
      <c r="D64" s="11">
        <f>'พ.ย'!N64</f>
        <v>1270000</v>
      </c>
      <c r="E64" s="11"/>
      <c r="F64" s="11"/>
      <c r="G64" s="11">
        <f>3500+314000</f>
        <v>317500</v>
      </c>
      <c r="H64" s="11"/>
      <c r="I64" s="11"/>
      <c r="J64" s="11"/>
      <c r="K64" s="11"/>
      <c r="L64" s="11"/>
      <c r="M64" s="11">
        <v>0</v>
      </c>
      <c r="N64" s="11">
        <f t="shared" si="1"/>
        <v>952500</v>
      </c>
    </row>
    <row r="65" spans="1:14" ht="23.25">
      <c r="A65" s="1" t="s">
        <v>297</v>
      </c>
      <c r="B65" s="2" t="s">
        <v>167</v>
      </c>
      <c r="C65" s="11">
        <f>'พ.ย'!M65</f>
        <v>0</v>
      </c>
      <c r="D65" s="11">
        <f>'พ.ย'!N65</f>
        <v>0</v>
      </c>
      <c r="E65" s="11"/>
      <c r="F65" s="11"/>
      <c r="G65" s="11"/>
      <c r="H65" s="11"/>
      <c r="I65" s="11"/>
      <c r="J65" s="11"/>
      <c r="K65" s="11"/>
      <c r="L65" s="11"/>
      <c r="M65" s="11">
        <f t="shared" si="0"/>
        <v>0</v>
      </c>
      <c r="N65" s="11">
        <f t="shared" si="1"/>
        <v>0</v>
      </c>
    </row>
    <row r="66" spans="1:14" ht="23.25">
      <c r="A66" s="1" t="s">
        <v>120</v>
      </c>
      <c r="B66" s="2" t="s">
        <v>34</v>
      </c>
      <c r="C66" s="11">
        <f>'พ.ย'!M66</f>
        <v>0</v>
      </c>
      <c r="D66" s="11">
        <f>'พ.ย'!N66</f>
        <v>0</v>
      </c>
      <c r="E66" s="11"/>
      <c r="F66" s="11"/>
      <c r="G66" s="11"/>
      <c r="H66" s="11"/>
      <c r="I66" s="11"/>
      <c r="J66" s="11"/>
      <c r="K66" s="11"/>
      <c r="L66" s="11"/>
      <c r="M66" s="11"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f>'พ.ย'!M67</f>
        <v>0</v>
      </c>
      <c r="D67" s="11">
        <f>'พ.ย'!N67</f>
        <v>48700</v>
      </c>
      <c r="E67" s="11"/>
      <c r="F67" s="11"/>
      <c r="G67" s="11">
        <v>48700</v>
      </c>
      <c r="H67" s="11">
        <v>48700</v>
      </c>
      <c r="I67" s="11"/>
      <c r="J67" s="11"/>
      <c r="K67" s="11"/>
      <c r="L67" s="11"/>
      <c r="M67" s="11">
        <v>0</v>
      </c>
      <c r="N67" s="11">
        <f t="shared" si="1"/>
        <v>48700</v>
      </c>
    </row>
    <row r="68" spans="1:14" ht="23.25">
      <c r="A68" s="1" t="s">
        <v>121</v>
      </c>
      <c r="B68" s="40" t="s">
        <v>34</v>
      </c>
      <c r="C68" s="11">
        <f>'พ.ย'!M68</f>
        <v>0</v>
      </c>
      <c r="D68" s="11">
        <f>'พ.ย'!N68</f>
        <v>0</v>
      </c>
      <c r="E68" s="11"/>
      <c r="F68" s="11"/>
      <c r="G68" s="11"/>
      <c r="H68" s="11"/>
      <c r="I68" s="11"/>
      <c r="J68" s="11"/>
      <c r="K68" s="11"/>
      <c r="L68" s="11"/>
      <c r="M68" s="11">
        <f t="shared" si="0"/>
        <v>0</v>
      </c>
      <c r="N68" s="11">
        <v>0</v>
      </c>
    </row>
    <row r="69" spans="1:14" ht="23.25">
      <c r="A69" s="51" t="s">
        <v>94</v>
      </c>
      <c r="B69" s="40" t="s">
        <v>79</v>
      </c>
      <c r="C69" s="11">
        <f>'พ.ย'!M69</f>
        <v>0</v>
      </c>
      <c r="D69" s="11">
        <f>'พ.ย'!N69</f>
        <v>0</v>
      </c>
      <c r="E69" s="11"/>
      <c r="F69" s="11"/>
      <c r="G69" s="11"/>
      <c r="H69" s="11"/>
      <c r="I69" s="11"/>
      <c r="J69" s="11"/>
      <c r="K69" s="11"/>
      <c r="L69" s="11"/>
      <c r="M69" s="11">
        <f>SUM(C69+E69+G69+I69+K69)-(D69+F69+H69+J69+L69)</f>
        <v>0</v>
      </c>
      <c r="N69" s="11">
        <f t="shared" si="1"/>
        <v>0</v>
      </c>
    </row>
    <row r="70" spans="1:14" ht="23.25">
      <c r="A70" s="51" t="s">
        <v>95</v>
      </c>
      <c r="B70" s="40" t="s">
        <v>80</v>
      </c>
      <c r="C70" s="11">
        <f>'พ.ย'!M70</f>
        <v>0</v>
      </c>
      <c r="D70" s="11">
        <f>'พ.ย'!N70</f>
        <v>0</v>
      </c>
      <c r="E70" s="11"/>
      <c r="F70" s="11"/>
      <c r="G70" s="11"/>
      <c r="H70" s="11"/>
      <c r="I70" s="11"/>
      <c r="J70" s="11"/>
      <c r="K70" s="11"/>
      <c r="L70" s="11"/>
      <c r="M70" s="11">
        <f>SUM(C70+E70+G70+I70+K70)-(D70+F70+H70+J70+L70)</f>
        <v>0</v>
      </c>
      <c r="N70" s="11">
        <f t="shared" si="1"/>
        <v>0</v>
      </c>
    </row>
    <row r="71" spans="1:14" ht="23.25">
      <c r="A71" s="51" t="s">
        <v>96</v>
      </c>
      <c r="B71" s="40" t="s">
        <v>81</v>
      </c>
      <c r="C71" s="11">
        <f>'พ.ย'!M71</f>
        <v>0</v>
      </c>
      <c r="D71" s="11">
        <f>'พ.ย'!N71</f>
        <v>0</v>
      </c>
      <c r="E71" s="11"/>
      <c r="F71" s="11"/>
      <c r="G71" s="11"/>
      <c r="H71" s="11"/>
      <c r="I71" s="11"/>
      <c r="J71" s="11"/>
      <c r="K71" s="11"/>
      <c r="L71" s="11"/>
      <c r="M71" s="11">
        <f>SUM(C71+E71+G71+I71+K71)-(D71+F71+H71+J71+L71)</f>
        <v>0</v>
      </c>
      <c r="N71" s="11">
        <f t="shared" si="1"/>
        <v>0</v>
      </c>
    </row>
    <row r="72" spans="1:14" ht="23.25">
      <c r="A72" s="51" t="s">
        <v>164</v>
      </c>
      <c r="B72" s="40" t="s">
        <v>162</v>
      </c>
      <c r="C72" s="11">
        <f>'พ.ย'!M72</f>
        <v>0</v>
      </c>
      <c r="D72" s="11">
        <f>'พ.ย'!N72</f>
        <v>10140</v>
      </c>
      <c r="E72" s="11"/>
      <c r="F72" s="11"/>
      <c r="G72" s="11"/>
      <c r="H72" s="11"/>
      <c r="I72" s="11"/>
      <c r="J72" s="11">
        <v>3690</v>
      </c>
      <c r="K72" s="11"/>
      <c r="L72" s="11"/>
      <c r="M72" s="11">
        <v>0</v>
      </c>
      <c r="N72" s="11">
        <f t="shared" si="1"/>
        <v>13830</v>
      </c>
    </row>
    <row r="73" spans="1:14" ht="23.25">
      <c r="A73" s="51" t="s">
        <v>97</v>
      </c>
      <c r="B73" s="40" t="s">
        <v>83</v>
      </c>
      <c r="C73" s="11">
        <f>'พ.ย'!M73</f>
        <v>0</v>
      </c>
      <c r="D73" s="11">
        <f>'พ.ย'!N73</f>
        <v>723761.74</v>
      </c>
      <c r="E73" s="11"/>
      <c r="F73" s="11"/>
      <c r="G73" s="11"/>
      <c r="H73" s="11"/>
      <c r="I73" s="11"/>
      <c r="J73" s="11">
        <v>816426.87</v>
      </c>
      <c r="K73" s="11"/>
      <c r="L73" s="11"/>
      <c r="M73" s="11">
        <v>0</v>
      </c>
      <c r="N73" s="11">
        <f t="shared" si="1"/>
        <v>1540188.6099999999</v>
      </c>
    </row>
    <row r="74" spans="1:14" ht="23.25">
      <c r="A74" s="51" t="s">
        <v>125</v>
      </c>
      <c r="B74" s="40" t="s">
        <v>160</v>
      </c>
      <c r="C74" s="11">
        <f>'พ.ย'!M74</f>
        <v>0</v>
      </c>
      <c r="D74" s="11">
        <f>'พ.ย'!N74</f>
        <v>313520.62</v>
      </c>
      <c r="E74" s="11"/>
      <c r="F74" s="11"/>
      <c r="G74" s="11"/>
      <c r="H74" s="11"/>
      <c r="I74" s="11"/>
      <c r="J74" s="11">
        <v>175064.58</v>
      </c>
      <c r="K74" s="11"/>
      <c r="L74" s="11"/>
      <c r="M74" s="11">
        <v>0</v>
      </c>
      <c r="N74" s="11">
        <f t="shared" si="1"/>
        <v>488585.19999999995</v>
      </c>
    </row>
    <row r="75" spans="1:14" ht="23.25">
      <c r="A75" s="51" t="s">
        <v>123</v>
      </c>
      <c r="B75" s="40" t="s">
        <v>161</v>
      </c>
      <c r="C75" s="11">
        <f>'พ.ย'!M75</f>
        <v>0</v>
      </c>
      <c r="D75" s="11">
        <f>'พ.ย'!N75</f>
        <v>15834</v>
      </c>
      <c r="E75" s="11"/>
      <c r="F75" s="11"/>
      <c r="G75" s="11"/>
      <c r="H75" s="11"/>
      <c r="I75" s="11"/>
      <c r="J75" s="11">
        <v>16524</v>
      </c>
      <c r="K75" s="11"/>
      <c r="L75" s="11"/>
      <c r="M75" s="11">
        <v>0</v>
      </c>
      <c r="N75" s="11">
        <f t="shared" si="1"/>
        <v>32358</v>
      </c>
    </row>
    <row r="76" spans="1:14" ht="23.25">
      <c r="A76" s="51" t="s">
        <v>98</v>
      </c>
      <c r="B76" s="40" t="s">
        <v>85</v>
      </c>
      <c r="C76" s="11">
        <f>'พ.ย'!M76</f>
        <v>0</v>
      </c>
      <c r="D76" s="11">
        <f>'พ.ย'!N76</f>
        <v>156899.64</v>
      </c>
      <c r="E76" s="11"/>
      <c r="F76" s="11"/>
      <c r="G76" s="11"/>
      <c r="H76" s="11"/>
      <c r="I76" s="11"/>
      <c r="J76" s="11">
        <v>98376.37</v>
      </c>
      <c r="K76" s="11"/>
      <c r="L76" s="11"/>
      <c r="M76" s="11">
        <v>0</v>
      </c>
      <c r="N76" s="11">
        <f t="shared" si="1"/>
        <v>255276.01</v>
      </c>
    </row>
    <row r="77" spans="1:14" ht="23.25">
      <c r="A77" s="51" t="s">
        <v>99</v>
      </c>
      <c r="B77" s="40" t="s">
        <v>86</v>
      </c>
      <c r="C77" s="11">
        <f>'พ.ย'!M77</f>
        <v>0</v>
      </c>
      <c r="D77" s="11">
        <f>'พ.ย'!N77</f>
        <v>476444.56</v>
      </c>
      <c r="E77" s="11"/>
      <c r="F77" s="11"/>
      <c r="G77" s="11"/>
      <c r="H77" s="11"/>
      <c r="I77" s="11"/>
      <c r="J77" s="11">
        <v>231624.49</v>
      </c>
      <c r="K77" s="11"/>
      <c r="L77" s="11"/>
      <c r="M77" s="11">
        <v>0</v>
      </c>
      <c r="N77" s="11">
        <f t="shared" si="1"/>
        <v>708069.05</v>
      </c>
    </row>
    <row r="78" spans="1:14" ht="23.25">
      <c r="A78" s="51" t="s">
        <v>100</v>
      </c>
      <c r="B78" s="40" t="s">
        <v>87</v>
      </c>
      <c r="C78" s="11">
        <f>'พ.ย'!M78</f>
        <v>0</v>
      </c>
      <c r="D78" s="11">
        <f>'พ.ย'!N78</f>
        <v>0</v>
      </c>
      <c r="E78" s="11"/>
      <c r="F78" s="11"/>
      <c r="G78" s="11"/>
      <c r="H78" s="11"/>
      <c r="I78" s="11"/>
      <c r="J78" s="11">
        <v>7068.06</v>
      </c>
      <c r="K78" s="11"/>
      <c r="L78" s="11"/>
      <c r="M78" s="11">
        <v>0</v>
      </c>
      <c r="N78" s="11">
        <f t="shared" si="1"/>
        <v>7068.06</v>
      </c>
    </row>
    <row r="79" spans="1:14" ht="23.25">
      <c r="A79" s="51" t="s">
        <v>293</v>
      </c>
      <c r="B79" s="40" t="s">
        <v>87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>
        <v>0</v>
      </c>
      <c r="N79" s="11">
        <f t="shared" si="1"/>
        <v>0</v>
      </c>
    </row>
    <row r="80" spans="1:14" ht="23.25">
      <c r="A80" s="51" t="s">
        <v>280</v>
      </c>
      <c r="B80" s="40" t="s">
        <v>88</v>
      </c>
      <c r="C80" s="11">
        <f>'พ.ย'!M80</f>
        <v>0</v>
      </c>
      <c r="D80" s="11">
        <f>'พ.ย'!N80</f>
        <v>0</v>
      </c>
      <c r="E80" s="11"/>
      <c r="F80" s="11"/>
      <c r="G80" s="11"/>
      <c r="H80" s="11"/>
      <c r="I80" s="11"/>
      <c r="J80" s="11">
        <v>0.97</v>
      </c>
      <c r="K80" s="11"/>
      <c r="L80" s="11"/>
      <c r="M80" s="11">
        <v>0</v>
      </c>
      <c r="N80" s="11">
        <f t="shared" si="1"/>
        <v>0.97</v>
      </c>
    </row>
    <row r="81" spans="1:14" ht="23.25">
      <c r="A81" s="51" t="s">
        <v>124</v>
      </c>
      <c r="B81" s="40" t="s">
        <v>89</v>
      </c>
      <c r="C81" s="11">
        <f>'พ.ย'!M81</f>
        <v>0</v>
      </c>
      <c r="D81" s="11">
        <f>'พ.ย'!N81</f>
        <v>10</v>
      </c>
      <c r="E81" s="11"/>
      <c r="F81" s="11"/>
      <c r="G81" s="11"/>
      <c r="H81" s="11"/>
      <c r="I81" s="11"/>
      <c r="J81" s="11">
        <v>66619</v>
      </c>
      <c r="K81" s="11"/>
      <c r="L81" s="11"/>
      <c r="M81" s="11">
        <v>0</v>
      </c>
      <c r="N81" s="11">
        <f t="shared" si="1"/>
        <v>66629</v>
      </c>
    </row>
    <row r="82" spans="1:14" ht="23.25">
      <c r="A82" s="51" t="s">
        <v>132</v>
      </c>
      <c r="B82" s="40" t="s">
        <v>133</v>
      </c>
      <c r="C82" s="11">
        <f>'พ.ย'!M82</f>
        <v>0</v>
      </c>
      <c r="D82" s="11">
        <f>'พ.ย'!N82</f>
        <v>0</v>
      </c>
      <c r="E82" s="11"/>
      <c r="F82" s="11"/>
      <c r="G82" s="11"/>
      <c r="H82" s="11"/>
      <c r="I82" s="11"/>
      <c r="J82" s="11"/>
      <c r="K82" s="11"/>
      <c r="L82" s="11"/>
      <c r="M82" s="11">
        <v>0</v>
      </c>
      <c r="N82" s="11">
        <f t="shared" si="1"/>
        <v>0</v>
      </c>
    </row>
    <row r="83" spans="1:14" ht="23.25">
      <c r="A83" s="51" t="s">
        <v>294</v>
      </c>
      <c r="B83" s="40" t="s">
        <v>90</v>
      </c>
      <c r="C83" s="11">
        <f>'พ.ย'!M83</f>
        <v>0</v>
      </c>
      <c r="D83" s="11">
        <f>'พ.ย'!N83</f>
        <v>0</v>
      </c>
      <c r="E83" s="11"/>
      <c r="F83" s="11"/>
      <c r="G83" s="11"/>
      <c r="H83" s="11"/>
      <c r="I83" s="11"/>
      <c r="J83" s="11"/>
      <c r="K83" s="11"/>
      <c r="L83" s="11"/>
      <c r="M83" s="11">
        <v>0</v>
      </c>
      <c r="N83" s="11">
        <f t="shared" si="1"/>
        <v>0</v>
      </c>
    </row>
    <row r="84" spans="1:14" ht="23.25">
      <c r="A84" s="51" t="s">
        <v>295</v>
      </c>
      <c r="B84" s="40" t="s">
        <v>91</v>
      </c>
      <c r="C84" s="11">
        <f>'พ.ย'!M84</f>
        <v>0</v>
      </c>
      <c r="D84" s="11">
        <f>'พ.ย'!N84</f>
        <v>0</v>
      </c>
      <c r="E84" s="11"/>
      <c r="F84" s="11"/>
      <c r="G84" s="11"/>
      <c r="H84" s="11"/>
      <c r="I84" s="11"/>
      <c r="J84" s="11"/>
      <c r="K84" s="11"/>
      <c r="L84" s="11"/>
      <c r="M84" s="11">
        <f>SUM(C84+E84+G84+I84+K84)-(D84+F84+H84+J84+L84)</f>
        <v>0</v>
      </c>
      <c r="N84" s="11">
        <f t="shared" si="1"/>
        <v>0</v>
      </c>
    </row>
    <row r="85" spans="1:14" ht="23.25">
      <c r="A85" s="51" t="s">
        <v>104</v>
      </c>
      <c r="B85" s="40" t="s">
        <v>92</v>
      </c>
      <c r="C85" s="11">
        <f>'พ.ย'!M85</f>
        <v>0</v>
      </c>
      <c r="D85" s="11">
        <f>'พ.ย'!N85</f>
        <v>3140</v>
      </c>
      <c r="E85" s="11"/>
      <c r="F85" s="11"/>
      <c r="G85" s="11"/>
      <c r="H85" s="11"/>
      <c r="I85" s="11"/>
      <c r="J85" s="11">
        <v>390</v>
      </c>
      <c r="K85" s="11"/>
      <c r="L85" s="11"/>
      <c r="M85" s="11">
        <v>0</v>
      </c>
      <c r="N85" s="11">
        <f t="shared" si="1"/>
        <v>3530</v>
      </c>
    </row>
    <row r="86" spans="1:14" ht="23.25">
      <c r="A86" s="51" t="s">
        <v>105</v>
      </c>
      <c r="B86" s="40" t="s">
        <v>93</v>
      </c>
      <c r="C86" s="11">
        <f>'พ.ย'!M86</f>
        <v>0</v>
      </c>
      <c r="D86" s="11">
        <f>'พ.ย'!N86</f>
        <v>0</v>
      </c>
      <c r="E86" s="39"/>
      <c r="F86" s="39"/>
      <c r="G86" s="39"/>
      <c r="H86" s="39"/>
      <c r="I86" s="39"/>
      <c r="J86" s="39">
        <v>3450620</v>
      </c>
      <c r="K86" s="39"/>
      <c r="L86" s="39"/>
      <c r="M86" s="11">
        <v>0</v>
      </c>
      <c r="N86" s="11">
        <f t="shared" si="1"/>
        <v>3450620</v>
      </c>
    </row>
    <row r="87" spans="1:14" ht="23.25">
      <c r="A87" s="1" t="s">
        <v>106</v>
      </c>
      <c r="B87" s="40" t="s">
        <v>133</v>
      </c>
      <c r="C87" s="11">
        <f>'พ.ย'!M87</f>
        <v>0</v>
      </c>
      <c r="D87" s="11">
        <f>'พ.ย'!N87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 t="shared" si="1"/>
        <v>53000</v>
      </c>
    </row>
    <row r="88" spans="1:14" ht="23.25">
      <c r="A88" s="51" t="s">
        <v>140</v>
      </c>
      <c r="B88" s="40" t="s">
        <v>159</v>
      </c>
      <c r="C88" s="11">
        <f>'พ.ย'!M88</f>
        <v>0</v>
      </c>
      <c r="D88" s="11">
        <f>'พ.ย'!N88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v>0</v>
      </c>
      <c r="N88" s="11">
        <f t="shared" si="1"/>
        <v>0</v>
      </c>
    </row>
    <row r="89" spans="1:14" ht="23.25">
      <c r="A89" s="1" t="s">
        <v>143</v>
      </c>
      <c r="B89" s="53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11"/>
      <c r="N89" s="11"/>
    </row>
    <row r="90" spans="1:14" ht="23.25">
      <c r="A90" s="282" t="s">
        <v>307</v>
      </c>
      <c r="B90" s="283" t="s">
        <v>168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11"/>
      <c r="N90" s="11"/>
    </row>
    <row r="91" spans="1:14" ht="23.25">
      <c r="A91" s="285" t="s">
        <v>308</v>
      </c>
      <c r="B91" s="8" t="s">
        <v>168</v>
      </c>
      <c r="C91" s="39">
        <f>'พ.ย'!M91</f>
        <v>0</v>
      </c>
      <c r="D91" s="39">
        <f>'พ.ย'!N91</f>
        <v>0</v>
      </c>
      <c r="E91" s="13"/>
      <c r="F91" s="13"/>
      <c r="G91" s="13"/>
      <c r="H91" s="13"/>
      <c r="I91" s="13"/>
      <c r="J91" s="13"/>
      <c r="K91" s="13"/>
      <c r="L91" s="13"/>
      <c r="M91" s="11">
        <f>SUM(C91+E91+G91+I91+K91)-(D91+F91+H91+J91+L91)</f>
        <v>0</v>
      </c>
      <c r="N91" s="11">
        <f t="shared" si="1"/>
        <v>0</v>
      </c>
    </row>
    <row r="92" spans="1:14" ht="24" thickBot="1">
      <c r="A92" s="44"/>
      <c r="B92" s="4"/>
      <c r="C92" s="42">
        <f>SUM(C6:C91)</f>
        <v>9984576.25</v>
      </c>
      <c r="D92" s="42">
        <f>SUM(D6:D91)</f>
        <v>9984576.25</v>
      </c>
      <c r="E92" s="14">
        <f aca="true" t="shared" si="2" ref="E92:N92">SUM(E6:E91)</f>
        <v>5041984.34</v>
      </c>
      <c r="F92" s="14">
        <f t="shared" si="2"/>
        <v>5041984.34</v>
      </c>
      <c r="G92" s="14">
        <f t="shared" si="2"/>
        <v>2579221.71</v>
      </c>
      <c r="H92" s="14">
        <f t="shared" si="2"/>
        <v>2579221.7100000004</v>
      </c>
      <c r="I92" s="14">
        <f t="shared" si="2"/>
        <v>4866404.34</v>
      </c>
      <c r="J92" s="14">
        <f t="shared" si="2"/>
        <v>4866404.34</v>
      </c>
      <c r="K92" s="14">
        <f t="shared" si="2"/>
        <v>4600984.06</v>
      </c>
      <c r="L92" s="14">
        <f t="shared" si="2"/>
        <v>4600984.06</v>
      </c>
      <c r="M92" s="42">
        <f t="shared" si="2"/>
        <v>13263812.42</v>
      </c>
      <c r="N92" s="42">
        <f t="shared" si="2"/>
        <v>13263812.420000002</v>
      </c>
    </row>
    <row r="93" spans="1:14" ht="24" thickTop="1">
      <c r="A93" s="46"/>
      <c r="B93" s="4"/>
      <c r="C93" s="15"/>
      <c r="D93" s="15"/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</row>
    <row r="94" spans="1:14" ht="23.25">
      <c r="A94" s="46"/>
      <c r="B94" s="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23.25">
      <c r="A95" s="46"/>
      <c r="B95" s="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23.25">
      <c r="A96" s="3"/>
      <c r="B96" s="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23.25">
      <c r="A97" s="3"/>
      <c r="B97" s="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23.25">
      <c r="A98" s="3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3.25">
      <c r="A99" s="3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3.25">
      <c r="A100" s="3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3.25">
      <c r="A101" s="3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3.25">
      <c r="A102" s="3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23.25">
      <c r="A103" s="3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3.25">
      <c r="A104" s="3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3.25">
      <c r="A105" s="3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3.25">
      <c r="A106" s="3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</sheetData>
  <sheetProtection/>
  <mergeCells count="9">
    <mergeCell ref="A1:N1"/>
    <mergeCell ref="A2:N2"/>
    <mergeCell ref="K4:L4"/>
    <mergeCell ref="M4:N4"/>
    <mergeCell ref="A4:A5"/>
    <mergeCell ref="C4:D4"/>
    <mergeCell ref="E4:F4"/>
    <mergeCell ref="G4:H4"/>
    <mergeCell ref="I4:J4"/>
  </mergeCells>
  <printOptions/>
  <pageMargins left="0.27" right="0.21" top="0.5" bottom="0.49" header="0" footer="0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6"/>
  <sheetViews>
    <sheetView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9.140625" defaultRowHeight="12.75"/>
  <cols>
    <col min="1" max="1" width="55.7109375" style="5" customWidth="1"/>
    <col min="2" max="2" width="9.28125" style="37" customWidth="1"/>
    <col min="3" max="4" width="13.28125" style="9" customWidth="1"/>
    <col min="5" max="5" width="13.57421875" style="9" customWidth="1"/>
    <col min="6" max="13" width="13.7109375" style="9" customWidth="1"/>
    <col min="14" max="14" width="14.421875" style="9" customWidth="1"/>
    <col min="15" max="15" width="16.8515625" style="0" customWidth="1"/>
    <col min="16" max="16" width="12.28125" style="0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267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3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23.25">
      <c r="A4" s="307" t="s">
        <v>0</v>
      </c>
      <c r="B4" s="34" t="s">
        <v>77</v>
      </c>
      <c r="C4" s="305" t="s">
        <v>281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23.25">
      <c r="A5" s="308"/>
      <c r="B5" s="35" t="s">
        <v>76</v>
      </c>
      <c r="C5" s="38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15" ht="23.25">
      <c r="A6" s="6" t="s">
        <v>51</v>
      </c>
      <c r="B6" s="7" t="s">
        <v>5</v>
      </c>
      <c r="C6" s="12">
        <f>'ธ.ค.'!M6</f>
        <v>0</v>
      </c>
      <c r="D6" s="32">
        <f>'ธ.ค.'!N6</f>
        <v>0</v>
      </c>
      <c r="E6" s="10"/>
      <c r="F6" s="10"/>
      <c r="G6" s="10"/>
      <c r="H6" s="10"/>
      <c r="I6" s="10"/>
      <c r="J6" s="10"/>
      <c r="K6" s="10"/>
      <c r="L6" s="10"/>
      <c r="M6" s="11">
        <f aca="true" t="shared" si="0" ref="M6:M68">SUM(C6+E6+G6+I6+K6)-(D6+F6+H6+J6+L6)</f>
        <v>0</v>
      </c>
      <c r="N6" s="11">
        <v>0</v>
      </c>
      <c r="O6" s="54"/>
    </row>
    <row r="7" spans="1:17" ht="23.25">
      <c r="A7" s="1" t="s">
        <v>116</v>
      </c>
      <c r="B7" s="2" t="s">
        <v>6</v>
      </c>
      <c r="C7" s="11">
        <f>'ธ.ค.'!M7</f>
        <v>1417.1799999999348</v>
      </c>
      <c r="D7" s="11">
        <f>'ธ.ค.'!N7</f>
        <v>0</v>
      </c>
      <c r="E7" s="12">
        <v>591405.93</v>
      </c>
      <c r="F7" s="12"/>
      <c r="G7" s="12"/>
      <c r="H7" s="12"/>
      <c r="I7" s="12"/>
      <c r="J7" s="12"/>
      <c r="K7" s="12">
        <v>0</v>
      </c>
      <c r="L7" s="12">
        <f>373760</f>
        <v>373760</v>
      </c>
      <c r="M7" s="11">
        <f t="shared" si="0"/>
        <v>219063.11</v>
      </c>
      <c r="N7" s="11">
        <v>0</v>
      </c>
      <c r="O7" s="55">
        <f>199153.3-M7</f>
        <v>-19909.809999999998</v>
      </c>
      <c r="P7" s="263">
        <f>48700</f>
        <v>48700</v>
      </c>
      <c r="Q7" s="262">
        <v>40516</v>
      </c>
    </row>
    <row r="8" spans="1:16" ht="23.25">
      <c r="A8" s="1" t="s">
        <v>130</v>
      </c>
      <c r="B8" s="2" t="s">
        <v>7</v>
      </c>
      <c r="C8" s="11">
        <f>'ธ.ค.'!M8</f>
        <v>547765.29</v>
      </c>
      <c r="D8" s="11">
        <f>'ธ.ค.'!N8</f>
        <v>0</v>
      </c>
      <c r="E8" s="11">
        <v>2743.22</v>
      </c>
      <c r="F8" s="11"/>
      <c r="G8" s="11"/>
      <c r="H8" s="11">
        <v>373760</v>
      </c>
      <c r="I8" s="11"/>
      <c r="J8" s="11"/>
      <c r="K8" s="11">
        <v>373760</v>
      </c>
      <c r="L8" s="11"/>
      <c r="M8" s="11">
        <f t="shared" si="0"/>
        <v>550508.51</v>
      </c>
      <c r="N8" s="11"/>
      <c r="O8" s="59">
        <f>550508.51-M8</f>
        <v>0</v>
      </c>
      <c r="P8" s="263">
        <f>26.19+28764</f>
        <v>28790.19</v>
      </c>
    </row>
    <row r="9" spans="1:16" ht="23.25">
      <c r="A9" s="1" t="s">
        <v>134</v>
      </c>
      <c r="B9" s="2" t="s">
        <v>7</v>
      </c>
      <c r="C9" s="11">
        <f>'ธ.ค.'!M9</f>
        <v>0</v>
      </c>
      <c r="D9" s="11">
        <f>'ธ.ค.'!N9</f>
        <v>0</v>
      </c>
      <c r="E9" s="11"/>
      <c r="F9" s="11"/>
      <c r="G9" s="11"/>
      <c r="H9" s="11">
        <v>3190538.59</v>
      </c>
      <c r="I9" s="11"/>
      <c r="J9" s="11"/>
      <c r="K9" s="11">
        <v>3190538.59</v>
      </c>
      <c r="L9" s="11"/>
      <c r="M9" s="11">
        <f t="shared" si="0"/>
        <v>0</v>
      </c>
      <c r="N9" s="11"/>
      <c r="O9" s="59"/>
      <c r="P9" s="263">
        <f>P7-P8</f>
        <v>19909.81</v>
      </c>
    </row>
    <row r="10" spans="1:16" ht="23.25">
      <c r="A10" s="1" t="s">
        <v>117</v>
      </c>
      <c r="B10" s="2" t="s">
        <v>8</v>
      </c>
      <c r="C10" s="11">
        <f>'ธ.ค.'!M10</f>
        <v>9048044.08</v>
      </c>
      <c r="D10" s="11">
        <f>'ธ.ค.'!N10</f>
        <v>0</v>
      </c>
      <c r="E10" s="11">
        <v>37806</v>
      </c>
      <c r="F10" s="11"/>
      <c r="G10" s="11"/>
      <c r="H10" s="11">
        <v>0</v>
      </c>
      <c r="I10" s="11"/>
      <c r="J10" s="11"/>
      <c r="K10" s="11"/>
      <c r="L10" s="11">
        <v>3190538.59</v>
      </c>
      <c r="M10" s="11">
        <f t="shared" si="0"/>
        <v>5895311.49</v>
      </c>
      <c r="N10" s="11"/>
      <c r="O10" s="59">
        <f>5928421.49-M10</f>
        <v>33110</v>
      </c>
      <c r="P10" s="59"/>
    </row>
    <row r="11" spans="1:15" ht="23.25">
      <c r="A11" s="1" t="s">
        <v>128</v>
      </c>
      <c r="B11" s="2" t="s">
        <v>8</v>
      </c>
      <c r="C11" s="11">
        <f>'ธ.ค.'!M11</f>
        <v>903028.85</v>
      </c>
      <c r="D11" s="11">
        <f>'ธ.ค.'!N11</f>
        <v>0</v>
      </c>
      <c r="E11" s="11">
        <v>10000</v>
      </c>
      <c r="F11" s="11"/>
      <c r="G11" s="11"/>
      <c r="H11" s="11"/>
      <c r="I11" s="11"/>
      <c r="J11" s="11"/>
      <c r="K11" s="11"/>
      <c r="L11" s="11"/>
      <c r="M11" s="11">
        <f t="shared" si="0"/>
        <v>913028.85</v>
      </c>
      <c r="N11" s="11"/>
      <c r="O11" s="59">
        <f>913028.85-M11</f>
        <v>0</v>
      </c>
    </row>
    <row r="12" spans="1:15" ht="23.25">
      <c r="A12" s="1" t="s">
        <v>131</v>
      </c>
      <c r="B12" s="2" t="s">
        <v>8</v>
      </c>
      <c r="C12" s="11">
        <f>'ธ.ค.'!M12</f>
        <v>1619.03</v>
      </c>
      <c r="D12" s="11">
        <f>'ธ.ค.'!N12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1619.03</v>
      </c>
      <c r="N12" s="11"/>
      <c r="O12" s="59"/>
    </row>
    <row r="13" spans="1:16" ht="23.25">
      <c r="A13" s="1" t="s">
        <v>39</v>
      </c>
      <c r="B13" s="2" t="s">
        <v>40</v>
      </c>
      <c r="C13" s="11">
        <f>'ธ.ค.'!M13</f>
        <v>2000</v>
      </c>
      <c r="D13" s="11">
        <f>'ธ.ค.'!N13</f>
        <v>0</v>
      </c>
      <c r="E13" s="11"/>
      <c r="F13" s="11"/>
      <c r="G13" s="11">
        <v>226550</v>
      </c>
      <c r="H13" s="11"/>
      <c r="I13" s="11"/>
      <c r="J13" s="11"/>
      <c r="K13" s="11"/>
      <c r="L13" s="11">
        <v>162065</v>
      </c>
      <c r="M13" s="11">
        <f t="shared" si="0"/>
        <v>66485</v>
      </c>
      <c r="N13" s="11"/>
      <c r="P13">
        <f>6420+6420+6420+6420+6420+26370+5220</f>
        <v>63690</v>
      </c>
    </row>
    <row r="14" spans="1:16" ht="23.25">
      <c r="A14" s="1" t="s">
        <v>110</v>
      </c>
      <c r="B14" s="2" t="s">
        <v>111</v>
      </c>
      <c r="C14" s="11">
        <f>'ธ.ค.'!M14</f>
        <v>0</v>
      </c>
      <c r="D14" s="11">
        <f>'ธ.ค.'!N14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/>
      <c r="O14" s="59"/>
      <c r="P14" s="59">
        <f>H13-M13</f>
        <v>-66485</v>
      </c>
    </row>
    <row r="15" spans="1:16" ht="23.25">
      <c r="A15" s="1" t="s">
        <v>52</v>
      </c>
      <c r="B15" s="2" t="s">
        <v>9</v>
      </c>
      <c r="C15" s="11">
        <f>'ธ.ค.'!M15</f>
        <v>16188</v>
      </c>
      <c r="D15" s="11">
        <f>'ธ.ค.'!N15</f>
        <v>0</v>
      </c>
      <c r="E15" s="11"/>
      <c r="F15" s="11"/>
      <c r="G15" s="11">
        <v>19745</v>
      </c>
      <c r="H15" s="11"/>
      <c r="I15" s="11"/>
      <c r="J15" s="11"/>
      <c r="K15" s="11"/>
      <c r="L15" s="11"/>
      <c r="M15" s="11">
        <f t="shared" si="0"/>
        <v>35933</v>
      </c>
      <c r="N15" s="11"/>
      <c r="O15" s="59"/>
      <c r="P15" s="59">
        <f>P14+P13</f>
        <v>-2795</v>
      </c>
    </row>
    <row r="16" spans="1:15" ht="23.25">
      <c r="A16" s="6" t="s">
        <v>10</v>
      </c>
      <c r="B16" s="7" t="s">
        <v>11</v>
      </c>
      <c r="C16" s="11">
        <f>'ธ.ค.'!M16</f>
        <v>689155</v>
      </c>
      <c r="D16" s="11">
        <f>'ธ.ค.'!N16</f>
        <v>0</v>
      </c>
      <c r="E16" s="11"/>
      <c r="F16" s="11"/>
      <c r="G16" s="11">
        <v>222800</v>
      </c>
      <c r="H16" s="11"/>
      <c r="I16" s="11"/>
      <c r="J16" s="11"/>
      <c r="K16" s="11"/>
      <c r="L16" s="11"/>
      <c r="M16" s="11">
        <f t="shared" si="0"/>
        <v>911955</v>
      </c>
      <c r="N16" s="11"/>
      <c r="O16" s="59"/>
    </row>
    <row r="17" spans="1:15" ht="23.25">
      <c r="A17" s="1" t="s">
        <v>12</v>
      </c>
      <c r="B17" s="2" t="s">
        <v>13</v>
      </c>
      <c r="C17" s="11">
        <f>'ธ.ค.'!M17</f>
        <v>0</v>
      </c>
      <c r="D17" s="11">
        <f>'ธ.ค.'!N17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v>0</v>
      </c>
      <c r="O17" s="59"/>
    </row>
    <row r="18" spans="1:15" ht="23.25">
      <c r="A18" s="1" t="s">
        <v>14</v>
      </c>
      <c r="B18" s="2" t="s">
        <v>15</v>
      </c>
      <c r="C18" s="11">
        <f>'ธ.ค.'!M18</f>
        <v>404940</v>
      </c>
      <c r="D18" s="11">
        <f>'ธ.ค.'!N18</f>
        <v>0</v>
      </c>
      <c r="E18" s="11"/>
      <c r="F18" s="11"/>
      <c r="G18" s="11">
        <v>138020</v>
      </c>
      <c r="H18" s="11"/>
      <c r="I18" s="11"/>
      <c r="J18" s="11"/>
      <c r="K18" s="11"/>
      <c r="L18" s="11"/>
      <c r="M18" s="11">
        <f t="shared" si="0"/>
        <v>542960</v>
      </c>
      <c r="N18" s="11">
        <v>0</v>
      </c>
      <c r="O18" s="59"/>
    </row>
    <row r="19" spans="1:14" ht="23.25">
      <c r="A19" s="1" t="s">
        <v>16</v>
      </c>
      <c r="B19" s="2" t="s">
        <v>17</v>
      </c>
      <c r="C19" s="11">
        <f>'ธ.ค.'!M19</f>
        <v>860957</v>
      </c>
      <c r="D19" s="11">
        <f>'ธ.ค.'!N19</f>
        <v>0</v>
      </c>
      <c r="E19" s="11"/>
      <c r="F19" s="11"/>
      <c r="G19" s="11">
        <v>287401</v>
      </c>
      <c r="H19" s="11"/>
      <c r="I19" s="11"/>
      <c r="J19" s="11"/>
      <c r="K19" s="11"/>
      <c r="L19" s="11"/>
      <c r="M19" s="11">
        <f t="shared" si="0"/>
        <v>1148358</v>
      </c>
      <c r="N19" s="11">
        <v>0</v>
      </c>
    </row>
    <row r="20" spans="1:14" ht="23.25">
      <c r="A20" s="1" t="s">
        <v>18</v>
      </c>
      <c r="B20" s="2" t="s">
        <v>19</v>
      </c>
      <c r="C20" s="11">
        <f>'ธ.ค.'!M20</f>
        <v>696134.8300000001</v>
      </c>
      <c r="D20" s="11">
        <f>'ธ.ค.'!N20</f>
        <v>0</v>
      </c>
      <c r="E20" s="11"/>
      <c r="F20" s="11"/>
      <c r="G20" s="11">
        <v>104897.32</v>
      </c>
      <c r="H20" s="11"/>
      <c r="I20" s="11"/>
      <c r="J20" s="11"/>
      <c r="K20" s="11">
        <v>162065</v>
      </c>
      <c r="L20" s="11"/>
      <c r="M20" s="11">
        <f t="shared" si="0"/>
        <v>963097.1500000001</v>
      </c>
      <c r="N20" s="11">
        <v>0</v>
      </c>
    </row>
    <row r="21" spans="1:14" ht="23.25">
      <c r="A21" s="1" t="s">
        <v>20</v>
      </c>
      <c r="B21" s="2" t="s">
        <v>21</v>
      </c>
      <c r="C21" s="11">
        <f>'ธ.ค.'!M21</f>
        <v>61624.05</v>
      </c>
      <c r="D21" s="11">
        <f>'ธ.ค.'!N21</f>
        <v>0</v>
      </c>
      <c r="E21" s="12"/>
      <c r="F21" s="12"/>
      <c r="G21" s="12">
        <v>23225</v>
      </c>
      <c r="H21" s="12"/>
      <c r="I21" s="12"/>
      <c r="J21" s="12"/>
      <c r="K21" s="12"/>
      <c r="L21" s="12"/>
      <c r="M21" s="11">
        <f t="shared" si="0"/>
        <v>84849.05</v>
      </c>
      <c r="N21" s="11">
        <v>0</v>
      </c>
    </row>
    <row r="22" spans="1:14" ht="23.25">
      <c r="A22" s="1" t="s">
        <v>22</v>
      </c>
      <c r="B22" s="2" t="s">
        <v>23</v>
      </c>
      <c r="C22" s="11">
        <f>'ธ.ค.'!M22</f>
        <v>29249.11</v>
      </c>
      <c r="D22" s="11">
        <f>'ธ.ค.'!N22</f>
        <v>0</v>
      </c>
      <c r="E22" s="11"/>
      <c r="F22" s="11"/>
      <c r="G22" s="11">
        <v>9176.63</v>
      </c>
      <c r="H22" s="11"/>
      <c r="I22" s="11"/>
      <c r="J22" s="11"/>
      <c r="K22" s="11"/>
      <c r="L22" s="11"/>
      <c r="M22" s="11">
        <f t="shared" si="0"/>
        <v>38425.74</v>
      </c>
      <c r="N22" s="11">
        <v>0</v>
      </c>
    </row>
    <row r="23" spans="1:14" ht="23.25">
      <c r="A23" s="1" t="s">
        <v>24</v>
      </c>
      <c r="B23" s="2" t="s">
        <v>25</v>
      </c>
      <c r="C23" s="11">
        <f>'ธ.ค.'!M23</f>
        <v>0</v>
      </c>
      <c r="D23" s="11">
        <f>'ธ.ค.'!N23</f>
        <v>0</v>
      </c>
      <c r="E23" s="11"/>
      <c r="F23" s="11"/>
      <c r="G23" s="11">
        <v>2167000</v>
      </c>
      <c r="H23" s="11"/>
      <c r="I23" s="11"/>
      <c r="J23" s="11"/>
      <c r="K23" s="11"/>
      <c r="L23" s="11"/>
      <c r="M23" s="11">
        <f t="shared" si="0"/>
        <v>2167000</v>
      </c>
      <c r="N23" s="11">
        <v>0</v>
      </c>
    </row>
    <row r="24" spans="1:14" ht="23.25">
      <c r="A24" s="1" t="s">
        <v>26</v>
      </c>
      <c r="B24" s="2" t="s">
        <v>27</v>
      </c>
      <c r="C24" s="11">
        <f>'ธ.ค.'!M24</f>
        <v>0</v>
      </c>
      <c r="D24" s="11">
        <f>'ธ.ค.'!N24</f>
        <v>0</v>
      </c>
      <c r="E24" s="11"/>
      <c r="F24" s="11"/>
      <c r="G24" s="11"/>
      <c r="H24" s="11"/>
      <c r="I24" s="11"/>
      <c r="J24" s="11"/>
      <c r="K24" s="11"/>
      <c r="L24" s="11"/>
      <c r="M24" s="11">
        <f t="shared" si="0"/>
        <v>0</v>
      </c>
      <c r="N24" s="11">
        <v>0</v>
      </c>
    </row>
    <row r="25" spans="1:14" ht="23.25">
      <c r="A25" s="1" t="s">
        <v>28</v>
      </c>
      <c r="B25" s="2" t="s">
        <v>29</v>
      </c>
      <c r="C25" s="11">
        <f>'ธ.ค.'!M25</f>
        <v>0</v>
      </c>
      <c r="D25" s="11">
        <f>'ธ.ค.'!N25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'ธ.ค.'!M26</f>
        <v>0</v>
      </c>
      <c r="D26" s="11">
        <f>'ธ.ค.'!N26</f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0</v>
      </c>
      <c r="N26" s="11">
        <v>0</v>
      </c>
    </row>
    <row r="27" spans="1:14" ht="23.25">
      <c r="A27" s="1" t="s">
        <v>41</v>
      </c>
      <c r="B27" s="2" t="s">
        <v>42</v>
      </c>
      <c r="C27" s="11">
        <f>'ธ.ค.'!M27</f>
        <v>0</v>
      </c>
      <c r="D27" s="11">
        <f>'ธ.ค.'!N27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v>0</v>
      </c>
      <c r="N27" s="11">
        <f>SUM(D27+F27+H27+J27+L27)-(C27+E27+G27+I27+K27)</f>
        <v>0</v>
      </c>
    </row>
    <row r="28" spans="1:14" ht="23.25">
      <c r="A28" s="1" t="s">
        <v>44</v>
      </c>
      <c r="B28" s="2" t="s">
        <v>30</v>
      </c>
      <c r="C28" s="11">
        <f>'ธ.ค.'!M28</f>
        <v>0</v>
      </c>
      <c r="D28" s="11">
        <f>'ธ.ค.'!N28</f>
        <v>2875247.9099999997</v>
      </c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1">
        <f>SUM(D28+F28+H28+J28+L28)-(C28+E28+G28+I28+K28)</f>
        <v>2875247.9099999997</v>
      </c>
    </row>
    <row r="29" spans="1:14" ht="23.25">
      <c r="A29" s="1" t="s">
        <v>45</v>
      </c>
      <c r="B29" s="2" t="s">
        <v>43</v>
      </c>
      <c r="C29" s="11">
        <f>'ธ.ค.'!M29</f>
        <v>0</v>
      </c>
      <c r="D29" s="11">
        <f>'ธ.ค.'!N29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>SUM(D29+F29+H29+J29+L29)-(C29+E29+G29+I29+K29)</f>
        <v>1294506.39</v>
      </c>
    </row>
    <row r="30" spans="1:14" ht="23.25">
      <c r="A30" s="1" t="s">
        <v>53</v>
      </c>
      <c r="B30" s="2" t="s">
        <v>31</v>
      </c>
      <c r="C30" s="11">
        <f>'ธ.ค.'!M30</f>
        <v>0</v>
      </c>
      <c r="D30" s="11">
        <f>'ธ.ค.'!N30</f>
        <v>0</v>
      </c>
      <c r="E30" s="11"/>
      <c r="F30" s="11"/>
      <c r="G30" s="11"/>
      <c r="H30" s="11"/>
      <c r="I30" s="11"/>
      <c r="J30" s="11"/>
      <c r="K30" s="11"/>
      <c r="L30" s="11"/>
      <c r="M30" s="11">
        <f t="shared" si="0"/>
        <v>0</v>
      </c>
      <c r="N30" s="11">
        <v>0</v>
      </c>
    </row>
    <row r="31" spans="1:14" ht="23.25">
      <c r="A31" s="1" t="s">
        <v>32</v>
      </c>
      <c r="B31" s="2" t="s">
        <v>33</v>
      </c>
      <c r="C31" s="11">
        <f>'ธ.ค.'!M31</f>
        <v>0</v>
      </c>
      <c r="D31" s="11">
        <f>'ธ.ค.'!N31</f>
        <v>0</v>
      </c>
      <c r="E31" s="11"/>
      <c r="F31" s="11">
        <v>631160.15</v>
      </c>
      <c r="G31" s="11"/>
      <c r="H31" s="11"/>
      <c r="I31" s="11">
        <v>631160.15</v>
      </c>
      <c r="J31" s="11"/>
      <c r="K31" s="11"/>
      <c r="L31" s="11"/>
      <c r="M31" s="11">
        <v>0</v>
      </c>
      <c r="N31" s="11">
        <f aca="true" t="shared" si="1" ref="N31:N88">SUM(D31+F31+H31+J31+L31)-(C31+E31+G31+I31+K31)</f>
        <v>0</v>
      </c>
    </row>
    <row r="32" spans="1:14" ht="23.25">
      <c r="A32" s="1" t="s">
        <v>35</v>
      </c>
      <c r="B32" s="2" t="s">
        <v>46</v>
      </c>
      <c r="C32" s="11">
        <f>'ธ.ค.'!M32</f>
        <v>0</v>
      </c>
      <c r="D32" s="11">
        <f>'ธ.ค.'!N32</f>
        <v>0</v>
      </c>
      <c r="E32" s="11"/>
      <c r="F32" s="11"/>
      <c r="G32" s="11"/>
      <c r="H32" s="11"/>
      <c r="I32" s="11"/>
      <c r="J32" s="11"/>
      <c r="K32" s="11"/>
      <c r="L32" s="11"/>
      <c r="M32" s="11">
        <f t="shared" si="0"/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'ธ.ค.'!M33</f>
        <v>0</v>
      </c>
      <c r="D33" s="11">
        <f>'ธ.ค.'!N33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'ธ.ค.'!M34</f>
        <v>0</v>
      </c>
      <c r="D34" s="11">
        <f>'ธ.ค.'!N34</f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'ธ.ค.'!M35</f>
        <v>0</v>
      </c>
      <c r="D35" s="11">
        <f>'ธ.ค.'!N35</f>
        <v>2309.4300000000003</v>
      </c>
      <c r="E35" s="11"/>
      <c r="F35" s="11"/>
      <c r="G35" s="11">
        <v>2309.43</v>
      </c>
      <c r="H35" s="11">
        <v>366.79</v>
      </c>
      <c r="I35" s="11"/>
      <c r="J35" s="11"/>
      <c r="K35" s="11"/>
      <c r="L35" s="11"/>
      <c r="M35" s="11">
        <v>0</v>
      </c>
      <c r="N35" s="11">
        <f>SUM(D35+F35+H35+J35+L35)-(C35+E35+G35+I35+K35)</f>
        <v>366.7900000000004</v>
      </c>
    </row>
    <row r="36" spans="1:14" ht="23.25">
      <c r="A36" s="6" t="s">
        <v>72</v>
      </c>
      <c r="B36" s="7">
        <v>903</v>
      </c>
      <c r="C36" s="11">
        <f>'ธ.ค.'!M36</f>
        <v>0</v>
      </c>
      <c r="D36" s="11">
        <f>'ธ.ค.'!N36</f>
        <v>454301.5</v>
      </c>
      <c r="E36" s="11"/>
      <c r="F36" s="11"/>
      <c r="G36" s="11">
        <v>0</v>
      </c>
      <c r="H36" s="11"/>
      <c r="I36" s="11"/>
      <c r="J36" s="11"/>
      <c r="K36" s="11"/>
      <c r="L36" s="11"/>
      <c r="M36" s="11">
        <v>0</v>
      </c>
      <c r="N36" s="11">
        <f t="shared" si="1"/>
        <v>454301.5</v>
      </c>
    </row>
    <row r="37" spans="1:14" ht="23.25">
      <c r="A37" s="1" t="s">
        <v>73</v>
      </c>
      <c r="B37" s="2">
        <v>904</v>
      </c>
      <c r="C37" s="11">
        <f>'ธ.ค.'!M37</f>
        <v>1690</v>
      </c>
      <c r="D37" s="11">
        <f>'ธ.ค.'!N37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1690</v>
      </c>
      <c r="N37" s="11">
        <v>0</v>
      </c>
    </row>
    <row r="38" spans="1:14" ht="23.25">
      <c r="A38" s="1" t="s">
        <v>74</v>
      </c>
      <c r="B38" s="2" t="s">
        <v>49</v>
      </c>
      <c r="C38" s="11">
        <f>'ธ.ค.'!M38</f>
        <v>0</v>
      </c>
      <c r="D38" s="11">
        <f>'ธ.ค.'!N38</f>
        <v>0</v>
      </c>
      <c r="E38" s="11"/>
      <c r="F38" s="11"/>
      <c r="G38" s="11"/>
      <c r="H38" s="11"/>
      <c r="I38" s="11"/>
      <c r="J38" s="11"/>
      <c r="K38" s="11"/>
      <c r="L38" s="11"/>
      <c r="M38" s="11">
        <f t="shared" si="0"/>
        <v>0</v>
      </c>
      <c r="N38" s="11">
        <f t="shared" si="1"/>
        <v>0</v>
      </c>
    </row>
    <row r="39" spans="1:14" ht="23.25">
      <c r="A39" s="1" t="s">
        <v>75</v>
      </c>
      <c r="B39" s="2" t="s">
        <v>50</v>
      </c>
      <c r="C39" s="11">
        <f>'ธ.ค.'!M39</f>
        <v>0</v>
      </c>
      <c r="D39" s="11">
        <f>'ธ.ค.'!N39</f>
        <v>0</v>
      </c>
      <c r="E39" s="11"/>
      <c r="F39" s="11"/>
      <c r="G39" s="11"/>
      <c r="H39" s="11"/>
      <c r="I39" s="11"/>
      <c r="J39" s="11"/>
      <c r="K39" s="11"/>
      <c r="L39" s="11"/>
      <c r="M39" s="11">
        <f t="shared" si="0"/>
        <v>0</v>
      </c>
      <c r="N39" s="11">
        <f t="shared" si="1"/>
        <v>0</v>
      </c>
    </row>
    <row r="40" spans="1:14" ht="23.25">
      <c r="A40" s="1" t="s">
        <v>54</v>
      </c>
      <c r="B40" s="2">
        <v>900</v>
      </c>
      <c r="C40" s="11">
        <f>'ธ.ค.'!M40</f>
        <v>0</v>
      </c>
      <c r="D40" s="11">
        <f>'ธ.ค.'!N40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'ธ.ค.'!M41</f>
        <v>0</v>
      </c>
      <c r="D41" s="11">
        <f>'ธ.ค.'!N41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v>0</v>
      </c>
      <c r="N41" s="11">
        <f t="shared" si="1"/>
        <v>0</v>
      </c>
    </row>
    <row r="42" spans="1:14" ht="23.25">
      <c r="A42" s="1" t="s">
        <v>56</v>
      </c>
      <c r="B42" s="2">
        <v>900</v>
      </c>
      <c r="C42" s="11">
        <f>'ธ.ค.'!M42</f>
        <v>0</v>
      </c>
      <c r="D42" s="11">
        <f>'ธ.ค.'!N42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'ธ.ค.'!M43</f>
        <v>0</v>
      </c>
      <c r="D43" s="11">
        <f>'ธ.ค.'!N43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'ธ.ค.'!M44</f>
        <v>0</v>
      </c>
      <c r="D44" s="11">
        <f>'ธ.ค.'!N44</f>
        <v>0</v>
      </c>
      <c r="E44" s="11"/>
      <c r="F44" s="11"/>
      <c r="G44" s="11">
        <v>33780</v>
      </c>
      <c r="H44" s="11"/>
      <c r="I44" s="11"/>
      <c r="J44" s="11"/>
      <c r="K44" s="11"/>
      <c r="L44" s="11"/>
      <c r="M44" s="11">
        <f t="shared" si="0"/>
        <v>33780</v>
      </c>
      <c r="N44" s="11">
        <v>0</v>
      </c>
    </row>
    <row r="45" spans="1:14" ht="23.25">
      <c r="A45" s="6" t="s">
        <v>58</v>
      </c>
      <c r="B45" s="2">
        <v>900</v>
      </c>
      <c r="C45" s="11">
        <f>'ธ.ค.'!M45</f>
        <v>0</v>
      </c>
      <c r="D45" s="11">
        <f>'ธ.ค.'!N45</f>
        <v>0</v>
      </c>
      <c r="E45" s="11"/>
      <c r="F45" s="11"/>
      <c r="G45" s="11">
        <v>8460</v>
      </c>
      <c r="H45" s="11"/>
      <c r="I45" s="11"/>
      <c r="J45" s="11"/>
      <c r="K45" s="11"/>
      <c r="L45" s="11"/>
      <c r="M45" s="11">
        <f t="shared" si="0"/>
        <v>8460</v>
      </c>
      <c r="N45" s="11">
        <v>0</v>
      </c>
    </row>
    <row r="46" spans="1:14" ht="23.25">
      <c r="A46" s="1" t="s">
        <v>158</v>
      </c>
      <c r="B46" s="2">
        <v>900</v>
      </c>
      <c r="C46" s="11">
        <f>'ธ.ค.'!M46</f>
        <v>0</v>
      </c>
      <c r="D46" s="11">
        <f>'ธ.ค.'!N46</f>
        <v>3801</v>
      </c>
      <c r="E46" s="11"/>
      <c r="F46" s="11"/>
      <c r="G46" s="11">
        <v>3801</v>
      </c>
      <c r="H46" s="11"/>
      <c r="I46" s="11"/>
      <c r="J46" s="11"/>
      <c r="K46" s="11"/>
      <c r="L46" s="11"/>
      <c r="M46" s="11">
        <f t="shared" si="0"/>
        <v>0</v>
      </c>
      <c r="N46" s="11">
        <v>0</v>
      </c>
    </row>
    <row r="47" spans="1:14" ht="23.25">
      <c r="A47" s="1" t="s">
        <v>166</v>
      </c>
      <c r="B47" s="2">
        <v>900</v>
      </c>
      <c r="C47" s="11">
        <f>'ธ.ค.'!M47</f>
        <v>0</v>
      </c>
      <c r="D47" s="11">
        <f>'ธ.ค.'!N47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'ธ.ค.'!M48</f>
        <v>0</v>
      </c>
      <c r="D48" s="11">
        <f>'ธ.ค.'!N48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f t="shared" si="0"/>
        <v>0</v>
      </c>
      <c r="N48" s="11">
        <f t="shared" si="1"/>
        <v>0</v>
      </c>
    </row>
    <row r="49" spans="1:14" ht="23.25">
      <c r="A49" s="1" t="s">
        <v>61</v>
      </c>
      <c r="B49" s="2" t="s">
        <v>34</v>
      </c>
      <c r="C49" s="11">
        <f>'ธ.ค.'!M49</f>
        <v>0</v>
      </c>
      <c r="D49" s="11">
        <f>'ธ.ค.'!N49</f>
        <v>889854</v>
      </c>
      <c r="E49" s="11"/>
      <c r="F49" s="11">
        <v>10000</v>
      </c>
      <c r="G49" s="11"/>
      <c r="H49" s="11"/>
      <c r="I49" s="11"/>
      <c r="J49" s="11"/>
      <c r="K49" s="11"/>
      <c r="L49" s="11"/>
      <c r="M49" s="11">
        <v>0</v>
      </c>
      <c r="N49" s="11">
        <f t="shared" si="1"/>
        <v>899854</v>
      </c>
    </row>
    <row r="50" spans="1:14" ht="23.25">
      <c r="A50" s="1" t="s">
        <v>62</v>
      </c>
      <c r="B50" s="2" t="s">
        <v>34</v>
      </c>
      <c r="C50" s="11">
        <f>'ธ.ค.'!M50</f>
        <v>0</v>
      </c>
      <c r="D50" s="11">
        <f>'ธ.ค.'!N50</f>
        <v>13174.85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13174.85</v>
      </c>
    </row>
    <row r="51" spans="1:14" ht="23.25">
      <c r="A51" s="1" t="s">
        <v>144</v>
      </c>
      <c r="B51" s="2">
        <v>900</v>
      </c>
      <c r="C51" s="11">
        <f>'ธ.ค.'!M51</f>
        <v>0</v>
      </c>
      <c r="D51" s="11">
        <f>'ธ.ค.'!N51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f t="shared" si="0"/>
        <v>0</v>
      </c>
      <c r="N51" s="11">
        <f t="shared" si="1"/>
        <v>0</v>
      </c>
    </row>
    <row r="52" spans="1:14" ht="23.25">
      <c r="A52" s="1" t="s">
        <v>64</v>
      </c>
      <c r="B52" s="2">
        <v>900</v>
      </c>
      <c r="C52" s="11">
        <f>'ธ.ค.'!M52</f>
        <v>0</v>
      </c>
      <c r="D52" s="11">
        <f>'ธ.ค.'!N52</f>
        <v>2000</v>
      </c>
      <c r="E52" s="11"/>
      <c r="F52" s="11"/>
      <c r="G52" s="11"/>
      <c r="H52" s="11"/>
      <c r="I52" s="11"/>
      <c r="J52" s="11"/>
      <c r="K52" s="11"/>
      <c r="L52" s="11"/>
      <c r="M52" s="11">
        <v>0</v>
      </c>
      <c r="N52" s="11">
        <f t="shared" si="1"/>
        <v>2000</v>
      </c>
    </row>
    <row r="53" spans="1:14" ht="23.25">
      <c r="A53" s="1" t="s">
        <v>65</v>
      </c>
      <c r="B53" s="2">
        <v>900</v>
      </c>
      <c r="C53" s="11">
        <f>'ธ.ค.'!M53</f>
        <v>0</v>
      </c>
      <c r="D53" s="11">
        <f>'ธ.ค.'!N53</f>
        <v>0</v>
      </c>
      <c r="E53" s="11"/>
      <c r="F53" s="11">
        <v>500</v>
      </c>
      <c r="G53" s="11"/>
      <c r="H53" s="11"/>
      <c r="I53" s="11"/>
      <c r="J53" s="11"/>
      <c r="K53" s="11"/>
      <c r="L53" s="11"/>
      <c r="M53" s="11">
        <v>0</v>
      </c>
      <c r="N53" s="11">
        <f t="shared" si="1"/>
        <v>500</v>
      </c>
    </row>
    <row r="54" spans="1:14" ht="23.25">
      <c r="A54" s="1" t="s">
        <v>66</v>
      </c>
      <c r="B54" s="2">
        <v>900</v>
      </c>
      <c r="C54" s="11">
        <f>'ธ.ค.'!M54</f>
        <v>0</v>
      </c>
      <c r="D54" s="11">
        <f>'ธ.ค.'!N54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f>'ธ.ค.'!M55</f>
        <v>0</v>
      </c>
      <c r="D55" s="11">
        <f>'ธ.ค.'!N55</f>
        <v>0</v>
      </c>
      <c r="E55" s="11"/>
      <c r="F55" s="11"/>
      <c r="G55" s="11"/>
      <c r="H55" s="11"/>
      <c r="I55" s="11"/>
      <c r="J55" s="11"/>
      <c r="K55" s="11"/>
      <c r="L55" s="11"/>
      <c r="M55" s="11">
        <f t="shared" si="0"/>
        <v>0</v>
      </c>
      <c r="N55" s="11">
        <f t="shared" si="1"/>
        <v>0</v>
      </c>
    </row>
    <row r="56" spans="1:14" ht="23.25">
      <c r="A56" s="1" t="s">
        <v>142</v>
      </c>
      <c r="B56" s="2" t="s">
        <v>34</v>
      </c>
      <c r="C56" s="11">
        <f>'ธ.ค.'!M56</f>
        <v>0</v>
      </c>
      <c r="D56" s="11">
        <f>'ธ.ค.'!N56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'ธ.ค.'!M57</f>
        <v>0</v>
      </c>
      <c r="D57" s="11">
        <f>'ธ.ค.'!N57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292</v>
      </c>
      <c r="B58" s="2" t="s">
        <v>34</v>
      </c>
      <c r="C58" s="11">
        <f>'ธ.ค.'!M58</f>
        <v>0</v>
      </c>
      <c r="D58" s="11">
        <f>'ธ.ค.'!N58</f>
        <v>0</v>
      </c>
      <c r="E58" s="12"/>
      <c r="F58" s="12">
        <v>295</v>
      </c>
      <c r="G58" s="12"/>
      <c r="H58" s="12"/>
      <c r="I58" s="12"/>
      <c r="J58" s="12"/>
      <c r="K58" s="12"/>
      <c r="L58" s="12"/>
      <c r="M58" s="11">
        <v>0</v>
      </c>
      <c r="N58" s="11">
        <f t="shared" si="1"/>
        <v>295</v>
      </c>
    </row>
    <row r="59" spans="1:14" ht="23.25">
      <c r="A59" s="1" t="s">
        <v>70</v>
      </c>
      <c r="B59" s="2" t="s">
        <v>34</v>
      </c>
      <c r="C59" s="11">
        <f>'ธ.ค.'!M59</f>
        <v>0</v>
      </c>
      <c r="D59" s="11">
        <f>'ธ.ค.'!N59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f t="shared" si="0"/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'ธ.ค.'!M60</f>
        <v>0</v>
      </c>
      <c r="D60" s="11">
        <f>'ธ.ค.'!N60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f>'ธ.ค.'!M61</f>
        <v>0</v>
      </c>
      <c r="D61" s="11">
        <f>'ธ.ค.'!N61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'ธ.ค.'!M62</f>
        <v>0</v>
      </c>
      <c r="D62" s="11">
        <f>'ธ.ค.'!N62</f>
        <v>0</v>
      </c>
      <c r="E62" s="11"/>
      <c r="F62" s="11"/>
      <c r="G62" s="11"/>
      <c r="H62" s="11"/>
      <c r="I62" s="11"/>
      <c r="J62" s="11"/>
      <c r="K62" s="11"/>
      <c r="L62" s="11"/>
      <c r="M62" s="11">
        <f t="shared" si="0"/>
        <v>0</v>
      </c>
      <c r="N62" s="11">
        <v>0</v>
      </c>
    </row>
    <row r="63" spans="1:14" ht="23.25">
      <c r="A63" s="1" t="s">
        <v>278</v>
      </c>
      <c r="B63" s="2" t="s">
        <v>167</v>
      </c>
      <c r="C63" s="11">
        <f>'ธ.ค.'!M63</f>
        <v>0</v>
      </c>
      <c r="D63" s="11">
        <f>'ธ.ค.'!N63</f>
        <v>103898</v>
      </c>
      <c r="E63" s="11"/>
      <c r="F63" s="39"/>
      <c r="G63" s="11"/>
      <c r="H63" s="11"/>
      <c r="I63" s="11"/>
      <c r="J63" s="11"/>
      <c r="K63" s="11"/>
      <c r="L63" s="11"/>
      <c r="M63" s="11">
        <v>0</v>
      </c>
      <c r="N63" s="11">
        <f t="shared" si="1"/>
        <v>103898</v>
      </c>
    </row>
    <row r="64" spans="1:14" ht="23.25">
      <c r="A64" s="1" t="s">
        <v>277</v>
      </c>
      <c r="B64" s="2" t="s">
        <v>163</v>
      </c>
      <c r="C64" s="11">
        <f>'ธ.ค.'!M64</f>
        <v>0</v>
      </c>
      <c r="D64" s="11">
        <f>'ธ.ค.'!N64</f>
        <v>952500</v>
      </c>
      <c r="E64" s="11"/>
      <c r="F64" s="11"/>
      <c r="G64" s="11">
        <f>314000+3500</f>
        <v>317500</v>
      </c>
      <c r="H64" s="11"/>
      <c r="I64" s="11"/>
      <c r="J64" s="11"/>
      <c r="K64" s="11"/>
      <c r="L64" s="11"/>
      <c r="M64" s="11">
        <v>0</v>
      </c>
      <c r="N64" s="11">
        <f t="shared" si="1"/>
        <v>635000</v>
      </c>
    </row>
    <row r="65" spans="1:14" ht="23.25">
      <c r="A65" s="1" t="s">
        <v>297</v>
      </c>
      <c r="B65" s="2" t="s">
        <v>167</v>
      </c>
      <c r="C65" s="11">
        <f>'ธ.ค.'!M65</f>
        <v>0</v>
      </c>
      <c r="D65" s="11">
        <f>'ธ.ค.'!N65</f>
        <v>0</v>
      </c>
      <c r="E65" s="11"/>
      <c r="F65" s="11"/>
      <c r="G65" s="11"/>
      <c r="H65" s="11"/>
      <c r="I65" s="11"/>
      <c r="J65" s="11"/>
      <c r="K65" s="11"/>
      <c r="L65" s="11"/>
      <c r="M65" s="11">
        <f t="shared" si="0"/>
        <v>0</v>
      </c>
      <c r="N65" s="11">
        <f t="shared" si="1"/>
        <v>0</v>
      </c>
    </row>
    <row r="66" spans="1:14" ht="23.25">
      <c r="A66" s="1" t="s">
        <v>120</v>
      </c>
      <c r="B66" s="2" t="s">
        <v>34</v>
      </c>
      <c r="C66" s="11">
        <f>'ธ.ค.'!M66</f>
        <v>0</v>
      </c>
      <c r="D66" s="11">
        <f>'ธ.ค.'!N66</f>
        <v>0</v>
      </c>
      <c r="E66" s="11"/>
      <c r="F66" s="11"/>
      <c r="G66" s="11"/>
      <c r="H66" s="11"/>
      <c r="I66" s="11"/>
      <c r="J66" s="11"/>
      <c r="K66" s="11"/>
      <c r="L66" s="11"/>
      <c r="M66" s="11"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f>'ธ.ค.'!M67</f>
        <v>0</v>
      </c>
      <c r="D67" s="11">
        <f>'ธ.ค.'!N67</f>
        <v>48700</v>
      </c>
      <c r="E67" s="11"/>
      <c r="F67" s="11"/>
      <c r="G67" s="11">
        <v>48700</v>
      </c>
      <c r="H67" s="11">
        <v>48700</v>
      </c>
      <c r="I67" s="11"/>
      <c r="J67" s="11"/>
      <c r="K67" s="11"/>
      <c r="L67" s="11"/>
      <c r="M67" s="11">
        <v>0</v>
      </c>
      <c r="N67" s="11">
        <f t="shared" si="1"/>
        <v>48700</v>
      </c>
    </row>
    <row r="68" spans="1:14" ht="23.25">
      <c r="A68" s="1" t="s">
        <v>121</v>
      </c>
      <c r="B68" s="40" t="s">
        <v>34</v>
      </c>
      <c r="C68" s="11">
        <f>'ธ.ค.'!M68</f>
        <v>0</v>
      </c>
      <c r="D68" s="11">
        <f>'ธ.ค.'!N68</f>
        <v>0</v>
      </c>
      <c r="E68" s="11"/>
      <c r="F68" s="11"/>
      <c r="G68" s="11"/>
      <c r="H68" s="11"/>
      <c r="I68" s="11"/>
      <c r="J68" s="11"/>
      <c r="K68" s="11"/>
      <c r="L68" s="11"/>
      <c r="M68" s="11">
        <f t="shared" si="0"/>
        <v>0</v>
      </c>
      <c r="N68" s="11">
        <v>0</v>
      </c>
    </row>
    <row r="69" spans="1:14" ht="23.25">
      <c r="A69" s="51" t="s">
        <v>94</v>
      </c>
      <c r="B69" s="40" t="s">
        <v>79</v>
      </c>
      <c r="C69" s="11">
        <f>'ธ.ค.'!M69</f>
        <v>0</v>
      </c>
      <c r="D69" s="11">
        <f>'ธ.ค.'!N69</f>
        <v>0</v>
      </c>
      <c r="E69" s="11"/>
      <c r="F69" s="11"/>
      <c r="G69" s="11"/>
      <c r="H69" s="11"/>
      <c r="I69" s="11"/>
      <c r="J69" s="11">
        <v>800</v>
      </c>
      <c r="K69" s="11"/>
      <c r="L69" s="11"/>
      <c r="M69" s="11">
        <v>0</v>
      </c>
      <c r="N69" s="11">
        <f t="shared" si="1"/>
        <v>800</v>
      </c>
    </row>
    <row r="70" spans="1:14" ht="23.25">
      <c r="A70" s="51" t="s">
        <v>95</v>
      </c>
      <c r="B70" s="40" t="s">
        <v>80</v>
      </c>
      <c r="C70" s="11">
        <f>'ธ.ค.'!M70</f>
        <v>0</v>
      </c>
      <c r="D70" s="11">
        <f>'ธ.ค.'!N70</f>
        <v>0</v>
      </c>
      <c r="E70" s="11"/>
      <c r="F70" s="11"/>
      <c r="G70" s="11"/>
      <c r="H70" s="11"/>
      <c r="I70" s="11"/>
      <c r="J70" s="11"/>
      <c r="K70" s="11"/>
      <c r="L70" s="11"/>
      <c r="M70" s="11">
        <v>0</v>
      </c>
      <c r="N70" s="11">
        <f t="shared" si="1"/>
        <v>0</v>
      </c>
    </row>
    <row r="71" spans="1:14" ht="23.25">
      <c r="A71" s="51" t="s">
        <v>96</v>
      </c>
      <c r="B71" s="40" t="s">
        <v>81</v>
      </c>
      <c r="C71" s="11">
        <f>'ธ.ค.'!M71</f>
        <v>0</v>
      </c>
      <c r="D71" s="11">
        <f>'ธ.ค.'!N71</f>
        <v>0</v>
      </c>
      <c r="E71" s="11"/>
      <c r="F71" s="11"/>
      <c r="G71" s="11"/>
      <c r="H71" s="11"/>
      <c r="I71" s="11"/>
      <c r="J71" s="11">
        <v>5853</v>
      </c>
      <c r="K71" s="11"/>
      <c r="L71" s="11"/>
      <c r="M71" s="11">
        <v>0</v>
      </c>
      <c r="N71" s="11">
        <f t="shared" si="1"/>
        <v>5853</v>
      </c>
    </row>
    <row r="72" spans="1:14" ht="23.25">
      <c r="A72" s="51" t="s">
        <v>164</v>
      </c>
      <c r="B72" s="40" t="s">
        <v>162</v>
      </c>
      <c r="C72" s="11">
        <f>'ธ.ค.'!M72</f>
        <v>0</v>
      </c>
      <c r="D72" s="11">
        <f>'ธ.ค.'!N72</f>
        <v>13830</v>
      </c>
      <c r="E72" s="11"/>
      <c r="F72" s="11"/>
      <c r="G72" s="11"/>
      <c r="H72" s="11"/>
      <c r="I72" s="11"/>
      <c r="J72" s="11">
        <v>3690</v>
      </c>
      <c r="K72" s="11"/>
      <c r="L72" s="11"/>
      <c r="M72" s="11">
        <v>0</v>
      </c>
      <c r="N72" s="11">
        <f t="shared" si="1"/>
        <v>17520</v>
      </c>
    </row>
    <row r="73" spans="1:14" ht="23.25">
      <c r="A73" s="51" t="s">
        <v>97</v>
      </c>
      <c r="B73" s="40" t="s">
        <v>83</v>
      </c>
      <c r="C73" s="11">
        <f>'ธ.ค.'!M73</f>
        <v>0</v>
      </c>
      <c r="D73" s="11">
        <f>'ธ.ค.'!N73</f>
        <v>1540188.6099999999</v>
      </c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1">
        <f t="shared" si="1"/>
        <v>1540188.6099999999</v>
      </c>
    </row>
    <row r="74" spans="1:14" ht="23.25">
      <c r="A74" s="51" t="s">
        <v>125</v>
      </c>
      <c r="B74" s="40" t="s">
        <v>160</v>
      </c>
      <c r="C74" s="11">
        <f>'ธ.ค.'!M74</f>
        <v>0</v>
      </c>
      <c r="D74" s="11">
        <f>'ธ.ค.'!N74</f>
        <v>488585.19999999995</v>
      </c>
      <c r="E74" s="11"/>
      <c r="F74" s="11"/>
      <c r="G74" s="11"/>
      <c r="H74" s="11"/>
      <c r="I74" s="11"/>
      <c r="J74" s="11">
        <v>169653.53</v>
      </c>
      <c r="K74" s="11"/>
      <c r="L74" s="11"/>
      <c r="M74" s="11">
        <v>0</v>
      </c>
      <c r="N74" s="11">
        <f t="shared" si="1"/>
        <v>658238.73</v>
      </c>
    </row>
    <row r="75" spans="1:14" ht="23.25">
      <c r="A75" s="51" t="s">
        <v>123</v>
      </c>
      <c r="B75" s="40" t="s">
        <v>161</v>
      </c>
      <c r="C75" s="11">
        <f>'ธ.ค.'!M75</f>
        <v>0</v>
      </c>
      <c r="D75" s="11">
        <f>'ธ.ค.'!N75</f>
        <v>32358</v>
      </c>
      <c r="E75" s="11"/>
      <c r="F75" s="11"/>
      <c r="G75" s="11"/>
      <c r="H75" s="11"/>
      <c r="I75" s="11"/>
      <c r="J75" s="11">
        <v>14358</v>
      </c>
      <c r="K75" s="11"/>
      <c r="L75" s="11"/>
      <c r="M75" s="11">
        <v>0</v>
      </c>
      <c r="N75" s="11">
        <f t="shared" si="1"/>
        <v>46716</v>
      </c>
    </row>
    <row r="76" spans="1:14" ht="23.25">
      <c r="A76" s="51" t="s">
        <v>98</v>
      </c>
      <c r="B76" s="40" t="s">
        <v>85</v>
      </c>
      <c r="C76" s="11">
        <f>'ธ.ค.'!M76</f>
        <v>0</v>
      </c>
      <c r="D76" s="11">
        <f>'ธ.ค.'!N76</f>
        <v>255276.01</v>
      </c>
      <c r="E76" s="11"/>
      <c r="F76" s="11"/>
      <c r="G76" s="11"/>
      <c r="H76" s="11"/>
      <c r="I76" s="11"/>
      <c r="J76" s="11">
        <v>110343.08</v>
      </c>
      <c r="K76" s="11"/>
      <c r="L76" s="11"/>
      <c r="M76" s="11">
        <v>0</v>
      </c>
      <c r="N76" s="11">
        <f t="shared" si="1"/>
        <v>365619.09</v>
      </c>
    </row>
    <row r="77" spans="1:14" ht="23.25">
      <c r="A77" s="51" t="s">
        <v>99</v>
      </c>
      <c r="B77" s="40" t="s">
        <v>86</v>
      </c>
      <c r="C77" s="11">
        <f>'ธ.ค.'!M77</f>
        <v>0</v>
      </c>
      <c r="D77" s="11">
        <f>'ธ.ค.'!N77</f>
        <v>708069.05</v>
      </c>
      <c r="E77" s="11"/>
      <c r="F77" s="11"/>
      <c r="G77" s="11"/>
      <c r="H77" s="11"/>
      <c r="I77" s="11"/>
      <c r="J77" s="11">
        <v>264126.5</v>
      </c>
      <c r="K77" s="11"/>
      <c r="L77" s="11"/>
      <c r="M77" s="11">
        <v>0</v>
      </c>
      <c r="N77" s="11">
        <f t="shared" si="1"/>
        <v>972195.55</v>
      </c>
    </row>
    <row r="78" spans="1:14" ht="23.25">
      <c r="A78" s="51" t="s">
        <v>100</v>
      </c>
      <c r="B78" s="40" t="s">
        <v>87</v>
      </c>
      <c r="C78" s="11">
        <f>'ธ.ค.'!M78</f>
        <v>0</v>
      </c>
      <c r="D78" s="11">
        <f>'ธ.ค.'!N78</f>
        <v>7068.06</v>
      </c>
      <c r="E78" s="11"/>
      <c r="F78" s="11"/>
      <c r="G78" s="11"/>
      <c r="H78" s="11"/>
      <c r="I78" s="11"/>
      <c r="J78" s="11"/>
      <c r="K78" s="11"/>
      <c r="L78" s="11"/>
      <c r="M78" s="11">
        <v>0</v>
      </c>
      <c r="N78" s="11">
        <f t="shared" si="1"/>
        <v>7068.06</v>
      </c>
    </row>
    <row r="79" spans="1:14" ht="23.25">
      <c r="A79" s="51" t="s">
        <v>293</v>
      </c>
      <c r="B79" s="40" t="s">
        <v>87</v>
      </c>
      <c r="C79" s="11"/>
      <c r="D79" s="11"/>
      <c r="E79" s="39"/>
      <c r="F79" s="39"/>
      <c r="G79" s="11"/>
      <c r="H79" s="11"/>
      <c r="I79" s="11"/>
      <c r="J79" s="11">
        <v>11653.88</v>
      </c>
      <c r="K79" s="11"/>
      <c r="L79" s="11"/>
      <c r="M79" s="11">
        <v>0</v>
      </c>
      <c r="N79" s="11">
        <f t="shared" si="1"/>
        <v>11653.88</v>
      </c>
    </row>
    <row r="80" spans="1:14" ht="23.25">
      <c r="A80" s="51" t="s">
        <v>280</v>
      </c>
      <c r="B80" s="40" t="s">
        <v>88</v>
      </c>
      <c r="C80" s="11">
        <f>'ธ.ค.'!M80</f>
        <v>0</v>
      </c>
      <c r="D80" s="11">
        <f>'ธ.ค.'!N80</f>
        <v>0.97</v>
      </c>
      <c r="E80" s="39"/>
      <c r="F80" s="39"/>
      <c r="G80" s="11"/>
      <c r="H80" s="11"/>
      <c r="I80" s="11"/>
      <c r="J80" s="11">
        <v>1.94</v>
      </c>
      <c r="K80" s="11"/>
      <c r="L80" s="11"/>
      <c r="M80" s="11">
        <v>0</v>
      </c>
      <c r="N80" s="11">
        <f t="shared" si="1"/>
        <v>2.91</v>
      </c>
    </row>
    <row r="81" spans="1:14" ht="23.25">
      <c r="A81" s="51" t="s">
        <v>124</v>
      </c>
      <c r="B81" s="40" t="s">
        <v>89</v>
      </c>
      <c r="C81" s="11">
        <f>'ธ.ค.'!M81</f>
        <v>0</v>
      </c>
      <c r="D81" s="11">
        <f>'ธ.ค.'!N81</f>
        <v>66629</v>
      </c>
      <c r="E81" s="39"/>
      <c r="F81" s="39"/>
      <c r="G81" s="11"/>
      <c r="H81" s="11"/>
      <c r="I81" s="11"/>
      <c r="J81" s="11">
        <v>35627</v>
      </c>
      <c r="K81" s="11"/>
      <c r="L81" s="11"/>
      <c r="M81" s="11">
        <v>0</v>
      </c>
      <c r="N81" s="11">
        <f t="shared" si="1"/>
        <v>102256</v>
      </c>
    </row>
    <row r="82" spans="1:14" ht="23.25">
      <c r="A82" s="51" t="s">
        <v>132</v>
      </c>
      <c r="B82" s="40" t="s">
        <v>133</v>
      </c>
      <c r="C82" s="11">
        <f>'ธ.ค.'!M82</f>
        <v>0</v>
      </c>
      <c r="D82" s="11">
        <f>'ธ.ค.'!N82</f>
        <v>0</v>
      </c>
      <c r="E82" s="39"/>
      <c r="F82" s="39"/>
      <c r="G82" s="11"/>
      <c r="H82" s="11"/>
      <c r="I82" s="11"/>
      <c r="J82" s="11">
        <v>5000</v>
      </c>
      <c r="K82" s="11"/>
      <c r="L82" s="11"/>
      <c r="M82" s="11">
        <v>0</v>
      </c>
      <c r="N82" s="11">
        <f t="shared" si="1"/>
        <v>5000</v>
      </c>
    </row>
    <row r="83" spans="1:14" ht="23.25">
      <c r="A83" s="51" t="s">
        <v>294</v>
      </c>
      <c r="B83" s="40" t="s">
        <v>90</v>
      </c>
      <c r="C83" s="11">
        <f>'ธ.ค.'!M83</f>
        <v>0</v>
      </c>
      <c r="D83" s="11">
        <f>'ธ.ค.'!N83</f>
        <v>0</v>
      </c>
      <c r="E83" s="39"/>
      <c r="F83" s="39"/>
      <c r="G83" s="11"/>
      <c r="H83" s="11"/>
      <c r="I83" s="11"/>
      <c r="J83" s="11">
        <v>2743.22</v>
      </c>
      <c r="K83" s="11"/>
      <c r="L83" s="11"/>
      <c r="M83" s="11">
        <v>0</v>
      </c>
      <c r="N83" s="11">
        <f t="shared" si="1"/>
        <v>2743.22</v>
      </c>
    </row>
    <row r="84" spans="1:14" ht="23.25">
      <c r="A84" s="51" t="s">
        <v>295</v>
      </c>
      <c r="B84" s="40" t="s">
        <v>91</v>
      </c>
      <c r="C84" s="11">
        <f>'ธ.ค.'!M84</f>
        <v>0</v>
      </c>
      <c r="D84" s="11">
        <f>'ธ.ค.'!N84</f>
        <v>0</v>
      </c>
      <c r="E84" s="39"/>
      <c r="F84" s="39"/>
      <c r="G84" s="11"/>
      <c r="H84" s="11"/>
      <c r="I84" s="11"/>
      <c r="J84" s="11">
        <v>3500</v>
      </c>
      <c r="K84" s="11"/>
      <c r="L84" s="11"/>
      <c r="M84" s="11">
        <v>0</v>
      </c>
      <c r="N84" s="11">
        <f t="shared" si="1"/>
        <v>3500</v>
      </c>
    </row>
    <row r="85" spans="1:14" ht="23.25">
      <c r="A85" s="51" t="s">
        <v>104</v>
      </c>
      <c r="B85" s="40" t="s">
        <v>92</v>
      </c>
      <c r="C85" s="11">
        <f>'ธ.ค.'!M85</f>
        <v>0</v>
      </c>
      <c r="D85" s="11">
        <f>'ธ.ค.'!N85</f>
        <v>3530</v>
      </c>
      <c r="E85" s="39"/>
      <c r="F85" s="39"/>
      <c r="G85" s="11"/>
      <c r="H85" s="11"/>
      <c r="I85" s="11"/>
      <c r="J85" s="11">
        <v>3810</v>
      </c>
      <c r="K85" s="11"/>
      <c r="L85" s="11"/>
      <c r="M85" s="11">
        <v>0</v>
      </c>
      <c r="N85" s="11">
        <f t="shared" si="1"/>
        <v>7340</v>
      </c>
    </row>
    <row r="86" spans="1:14" ht="23.25">
      <c r="A86" s="51" t="s">
        <v>105</v>
      </c>
      <c r="B86" s="40" t="s">
        <v>93</v>
      </c>
      <c r="C86" s="11">
        <f>'ธ.ค.'!M86</f>
        <v>0</v>
      </c>
      <c r="D86" s="11">
        <f>'ธ.ค.'!N86</f>
        <v>3450620</v>
      </c>
      <c r="E86" s="39"/>
      <c r="F86" s="39"/>
      <c r="G86" s="39"/>
      <c r="H86" s="39"/>
      <c r="I86" s="39"/>
      <c r="J86" s="39"/>
      <c r="K86" s="39"/>
      <c r="L86" s="39"/>
      <c r="M86" s="11">
        <v>0</v>
      </c>
      <c r="N86" s="11">
        <f t="shared" si="1"/>
        <v>3450620</v>
      </c>
    </row>
    <row r="87" spans="1:14" ht="23.25">
      <c r="A87" s="1" t="s">
        <v>106</v>
      </c>
      <c r="B87" s="40" t="s">
        <v>133</v>
      </c>
      <c r="C87" s="11">
        <f>'ธ.ค.'!M87</f>
        <v>0</v>
      </c>
      <c r="D87" s="11">
        <f>'ธ.ค.'!N87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 t="shared" si="1"/>
        <v>53000</v>
      </c>
    </row>
    <row r="88" spans="1:14" ht="23.25">
      <c r="A88" s="51" t="s">
        <v>140</v>
      </c>
      <c r="B88" s="40" t="s">
        <v>159</v>
      </c>
      <c r="C88" s="11">
        <f>'ธ.ค.'!M88</f>
        <v>0</v>
      </c>
      <c r="D88" s="11">
        <f>'ธ.ค.'!N88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v>0</v>
      </c>
      <c r="N88" s="11">
        <f t="shared" si="1"/>
        <v>0</v>
      </c>
    </row>
    <row r="89" spans="1:14" ht="23.25">
      <c r="A89" s="1" t="s">
        <v>143</v>
      </c>
      <c r="B89" s="53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ht="23.25">
      <c r="A90" s="282" t="s">
        <v>307</v>
      </c>
      <c r="B90" s="283" t="s">
        <v>168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23.25">
      <c r="A91" s="285" t="s">
        <v>308</v>
      </c>
      <c r="B91" s="8" t="s">
        <v>168</v>
      </c>
      <c r="C91" s="39">
        <f>'ธ.ค.'!M91</f>
        <v>0</v>
      </c>
      <c r="D91" s="39">
        <f>'ธ.ค.'!N91</f>
        <v>0</v>
      </c>
      <c r="E91" s="13"/>
      <c r="F91" s="13"/>
      <c r="G91" s="13"/>
      <c r="H91" s="13"/>
      <c r="I91" s="13"/>
      <c r="J91" s="13"/>
      <c r="K91" s="13"/>
      <c r="L91" s="13"/>
      <c r="M91" s="39">
        <v>0</v>
      </c>
      <c r="N91" s="39">
        <f>SUM(D91+F91+H91+J91+L91)-(C91+E91+G91+I91+K91)</f>
        <v>0</v>
      </c>
    </row>
    <row r="92" spans="1:14" ht="24" thickBot="1">
      <c r="A92" s="44"/>
      <c r="B92" s="48"/>
      <c r="C92" s="42">
        <f>SUM(C6:C91)</f>
        <v>13263812.42</v>
      </c>
      <c r="D92" s="42">
        <f aca="true" t="shared" si="2" ref="D92:N92">SUM(D6:D91)</f>
        <v>13263812.420000002</v>
      </c>
      <c r="E92" s="14">
        <f t="shared" si="2"/>
        <v>641955.15</v>
      </c>
      <c r="F92" s="14">
        <f t="shared" si="2"/>
        <v>641955.15</v>
      </c>
      <c r="G92" s="14">
        <f t="shared" si="2"/>
        <v>3613365.3800000004</v>
      </c>
      <c r="H92" s="14">
        <f>SUM(H6:H91)</f>
        <v>3613365.38</v>
      </c>
      <c r="I92" s="14">
        <f t="shared" si="2"/>
        <v>631160.15</v>
      </c>
      <c r="J92" s="14">
        <f t="shared" si="2"/>
        <v>631160.1499999999</v>
      </c>
      <c r="K92" s="14">
        <f t="shared" si="2"/>
        <v>3726363.59</v>
      </c>
      <c r="L92" s="14">
        <f t="shared" si="2"/>
        <v>3726363.59</v>
      </c>
      <c r="M92" s="42">
        <f t="shared" si="2"/>
        <v>13582523.930000002</v>
      </c>
      <c r="N92" s="42">
        <f t="shared" si="2"/>
        <v>13582523.930000003</v>
      </c>
    </row>
    <row r="93" spans="1:14" ht="24" thickTop="1">
      <c r="A93" s="46"/>
      <c r="B93" s="47"/>
      <c r="C93" s="15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</row>
    <row r="94" spans="1:14" ht="23.25">
      <c r="A94" s="3"/>
      <c r="B94" s="3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23.25">
      <c r="A95" s="3"/>
      <c r="B95" s="3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23.25">
      <c r="A96" s="3"/>
      <c r="B96" s="3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23.25">
      <c r="A97" s="3"/>
      <c r="B97" s="3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23.25">
      <c r="A98" s="3"/>
      <c r="B98" s="3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3.25">
      <c r="A99" s="3"/>
      <c r="B99" s="3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3.25">
      <c r="A100" s="3"/>
      <c r="B100" s="3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3.25">
      <c r="A101" s="3"/>
      <c r="B101" s="3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3.25">
      <c r="A102" s="3"/>
      <c r="B102" s="3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23.25">
      <c r="A103" s="3"/>
      <c r="B103" s="3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3.25">
      <c r="A104" s="3"/>
      <c r="B104" s="3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3.25">
      <c r="A105" s="3"/>
      <c r="B105" s="3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3.25">
      <c r="A106" s="3"/>
      <c r="B106" s="3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</sheetData>
  <sheetProtection/>
  <mergeCells count="9">
    <mergeCell ref="A1:N1"/>
    <mergeCell ref="A2:N2"/>
    <mergeCell ref="K4:L4"/>
    <mergeCell ref="M4:N4"/>
    <mergeCell ref="A4:A5"/>
    <mergeCell ref="C4:D4"/>
    <mergeCell ref="E4:F4"/>
    <mergeCell ref="G4:H4"/>
    <mergeCell ref="I4:J4"/>
  </mergeCells>
  <printOptions/>
  <pageMargins left="0.2" right="0" top="0.5905511811023623" bottom="0.3937007874015748" header="0.5118110236220472" footer="0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06"/>
  <sheetViews>
    <sheetView zoomScale="80" zoomScaleNormal="8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5" sqref="M15"/>
    </sheetView>
  </sheetViews>
  <sheetFormatPr defaultColWidth="9.140625" defaultRowHeight="12.75"/>
  <cols>
    <col min="1" max="1" width="55.7109375" style="5" customWidth="1"/>
    <col min="2" max="2" width="7.7109375" style="5" customWidth="1"/>
    <col min="3" max="14" width="13.7109375" style="9" customWidth="1"/>
    <col min="15" max="15" width="15.7109375" style="5" customWidth="1"/>
    <col min="16" max="58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269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BG3" s="5"/>
      <c r="BH3" s="5"/>
      <c r="BI3" s="5"/>
      <c r="BJ3" s="5"/>
      <c r="BK3" s="5"/>
      <c r="BL3" s="5"/>
      <c r="BM3" s="5"/>
      <c r="BN3" s="5"/>
      <c r="BO3" s="5"/>
    </row>
    <row r="4" spans="1:67" ht="23.25">
      <c r="A4" s="307" t="s">
        <v>0</v>
      </c>
      <c r="B4" s="30" t="s">
        <v>77</v>
      </c>
      <c r="C4" s="305" t="s">
        <v>284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BG4" s="5"/>
      <c r="BH4" s="5"/>
      <c r="BI4" s="5"/>
      <c r="BJ4" s="5"/>
      <c r="BK4" s="5"/>
      <c r="BL4" s="5"/>
      <c r="BM4" s="5"/>
      <c r="BN4" s="5"/>
      <c r="BO4" s="5"/>
    </row>
    <row r="5" spans="1:67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BG5" s="5"/>
      <c r="BH5" s="5"/>
      <c r="BI5" s="5"/>
      <c r="BJ5" s="5"/>
      <c r="BK5" s="5"/>
      <c r="BL5" s="5"/>
      <c r="BM5" s="5"/>
      <c r="BN5" s="5"/>
      <c r="BO5" s="5"/>
    </row>
    <row r="6" spans="1:14" ht="23.25">
      <c r="A6" s="6" t="s">
        <v>51</v>
      </c>
      <c r="B6" s="7" t="s">
        <v>5</v>
      </c>
      <c r="C6" s="32">
        <f>'ม.ค.'!M6</f>
        <v>0</v>
      </c>
      <c r="D6" s="32">
        <f>'ม.ค.'!N6</f>
        <v>0</v>
      </c>
      <c r="E6" s="10"/>
      <c r="F6" s="10"/>
      <c r="G6" s="10"/>
      <c r="H6" s="10"/>
      <c r="I6" s="10"/>
      <c r="J6" s="10"/>
      <c r="K6" s="10"/>
      <c r="L6" s="10"/>
      <c r="M6" s="11">
        <f aca="true" t="shared" si="0" ref="M6:M26">SUM(C6+E6+G6+I6+K6)-(D6+F6+H6+J6+L6)</f>
        <v>0</v>
      </c>
      <c r="N6" s="11">
        <f>SUM(D6+F6+H6+J6+L6)-(C6+E6+G6+I6+K6)</f>
        <v>0</v>
      </c>
    </row>
    <row r="7" spans="1:15" ht="23.25">
      <c r="A7" s="1" t="s">
        <v>116</v>
      </c>
      <c r="B7" s="2" t="s">
        <v>6</v>
      </c>
      <c r="C7" s="11">
        <f>'ม.ค.'!M7</f>
        <v>219063.11</v>
      </c>
      <c r="D7" s="11">
        <f>'ม.ค.'!N7</f>
        <v>0</v>
      </c>
      <c r="E7" s="12">
        <v>201116.89</v>
      </c>
      <c r="F7" s="12"/>
      <c r="G7" s="12">
        <v>0</v>
      </c>
      <c r="H7" s="12">
        <v>0</v>
      </c>
      <c r="I7" s="12"/>
      <c r="J7" s="12"/>
      <c r="K7" s="12">
        <v>0</v>
      </c>
      <c r="L7" s="12">
        <f>48700+371480</f>
        <v>420180</v>
      </c>
      <c r="M7" s="11">
        <f t="shared" si="0"/>
        <v>0</v>
      </c>
      <c r="N7" s="11">
        <v>0</v>
      </c>
      <c r="O7" s="52"/>
    </row>
    <row r="8" spans="1:15" ht="23.25">
      <c r="A8" s="1" t="s">
        <v>130</v>
      </c>
      <c r="B8" s="2" t="s">
        <v>7</v>
      </c>
      <c r="C8" s="11">
        <f>'ม.ค.'!M8</f>
        <v>550508.51</v>
      </c>
      <c r="D8" s="11">
        <f>'ม.ค.'!N8</f>
        <v>0</v>
      </c>
      <c r="E8" s="11"/>
      <c r="F8" s="11"/>
      <c r="G8" s="11">
        <v>0</v>
      </c>
      <c r="H8" s="11">
        <v>371480</v>
      </c>
      <c r="I8" s="11"/>
      <c r="J8" s="11"/>
      <c r="K8" s="11">
        <v>371480</v>
      </c>
      <c r="L8" s="11">
        <v>0</v>
      </c>
      <c r="M8" s="11">
        <f t="shared" si="0"/>
        <v>550508.51</v>
      </c>
      <c r="N8" s="11">
        <v>0</v>
      </c>
      <c r="O8" s="52"/>
    </row>
    <row r="9" spans="1:14" ht="23.25">
      <c r="A9" s="1" t="s">
        <v>134</v>
      </c>
      <c r="B9" s="2" t="s">
        <v>7</v>
      </c>
      <c r="C9" s="11">
        <f>'ม.ค.'!M9</f>
        <v>0</v>
      </c>
      <c r="D9" s="11">
        <f>'ม.ค.'!N9</f>
        <v>0</v>
      </c>
      <c r="E9" s="11"/>
      <c r="F9" s="11"/>
      <c r="G9" s="11"/>
      <c r="H9" s="11">
        <v>1298873.13</v>
      </c>
      <c r="I9" s="11"/>
      <c r="J9" s="11"/>
      <c r="K9" s="11">
        <v>1298873.13</v>
      </c>
      <c r="L9" s="11"/>
      <c r="M9" s="11">
        <f t="shared" si="0"/>
        <v>0</v>
      </c>
      <c r="N9" s="11">
        <v>0</v>
      </c>
    </row>
    <row r="10" spans="1:15" ht="23.25">
      <c r="A10" s="1" t="s">
        <v>117</v>
      </c>
      <c r="B10" s="2" t="s">
        <v>8</v>
      </c>
      <c r="C10" s="11">
        <f>'ม.ค.'!M10</f>
        <v>5895311.49</v>
      </c>
      <c r="D10" s="11">
        <f>'ม.ค.'!N10</f>
        <v>0</v>
      </c>
      <c r="E10" s="11">
        <v>6703908.3</v>
      </c>
      <c r="F10" s="11"/>
      <c r="G10" s="11"/>
      <c r="H10" s="11"/>
      <c r="I10" s="11"/>
      <c r="J10" s="11"/>
      <c r="K10" s="11"/>
      <c r="L10" s="11">
        <v>1298873.13</v>
      </c>
      <c r="M10" s="11">
        <f t="shared" si="0"/>
        <v>11300346.66</v>
      </c>
      <c r="N10" s="11">
        <v>0</v>
      </c>
      <c r="O10" s="52">
        <f>4676322.36+6642024.3-M10</f>
        <v>18000</v>
      </c>
    </row>
    <row r="11" spans="1:15" ht="23.25">
      <c r="A11" s="1" t="s">
        <v>128</v>
      </c>
      <c r="B11" s="2" t="s">
        <v>8</v>
      </c>
      <c r="C11" s="11">
        <f>'ม.ค.'!M11</f>
        <v>913028.85</v>
      </c>
      <c r="D11" s="11">
        <f>'ม.ค.'!N11</f>
        <v>0</v>
      </c>
      <c r="E11" s="11">
        <v>25000</v>
      </c>
      <c r="F11" s="11"/>
      <c r="G11" s="11"/>
      <c r="H11" s="11"/>
      <c r="I11" s="11"/>
      <c r="J11" s="11"/>
      <c r="K11" s="11"/>
      <c r="L11" s="11"/>
      <c r="M11" s="11">
        <f t="shared" si="0"/>
        <v>938028.85</v>
      </c>
      <c r="N11" s="11">
        <v>0</v>
      </c>
      <c r="O11" s="52"/>
    </row>
    <row r="12" spans="1:16" ht="23.25">
      <c r="A12" s="1" t="s">
        <v>131</v>
      </c>
      <c r="B12" s="2" t="s">
        <v>8</v>
      </c>
      <c r="C12" s="11">
        <f>'ม.ค.'!M12</f>
        <v>1619.03</v>
      </c>
      <c r="D12" s="11">
        <f>'ม.ค.'!N12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1619.03</v>
      </c>
      <c r="N12" s="11">
        <v>0</v>
      </c>
      <c r="O12" s="52"/>
      <c r="P12" s="52">
        <f>L13-235540</f>
        <v>0</v>
      </c>
    </row>
    <row r="13" spans="1:16" ht="23.25">
      <c r="A13" s="1" t="s">
        <v>39</v>
      </c>
      <c r="B13" s="2" t="s">
        <v>40</v>
      </c>
      <c r="C13" s="11">
        <f>'ม.ค.'!M13</f>
        <v>66485</v>
      </c>
      <c r="D13" s="11">
        <f>'ม.ค.'!N13</f>
        <v>0</v>
      </c>
      <c r="E13" s="11"/>
      <c r="F13" s="11">
        <v>2420</v>
      </c>
      <c r="G13" s="11">
        <v>220320</v>
      </c>
      <c r="H13" s="11"/>
      <c r="I13" s="11"/>
      <c r="J13" s="11"/>
      <c r="K13" s="11"/>
      <c r="L13" s="11">
        <v>235540</v>
      </c>
      <c r="M13" s="11">
        <f t="shared" si="0"/>
        <v>48845</v>
      </c>
      <c r="N13" s="11">
        <v>0</v>
      </c>
      <c r="O13" s="52"/>
      <c r="P13" s="279">
        <v>30000</v>
      </c>
    </row>
    <row r="14" spans="1:16" ht="23.25">
      <c r="A14" s="1" t="s">
        <v>110</v>
      </c>
      <c r="B14" s="2" t="s">
        <v>111</v>
      </c>
      <c r="C14" s="11">
        <f>'ม.ค.'!M14</f>
        <v>0</v>
      </c>
      <c r="D14" s="11">
        <f>'ม.ค.'!N14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  <c r="P14" s="279">
        <f>2000+295+500</f>
        <v>2795</v>
      </c>
    </row>
    <row r="15" spans="1:16" ht="23.25">
      <c r="A15" s="1" t="s">
        <v>52</v>
      </c>
      <c r="B15" s="2" t="s">
        <v>9</v>
      </c>
      <c r="C15" s="11">
        <f>'ม.ค.'!M15</f>
        <v>35933</v>
      </c>
      <c r="D15" s="11">
        <f>'ม.ค.'!N15</f>
        <v>0</v>
      </c>
      <c r="E15" s="11"/>
      <c r="F15" s="11"/>
      <c r="G15" s="11">
        <v>114782</v>
      </c>
      <c r="H15" s="11"/>
      <c r="I15" s="11"/>
      <c r="J15" s="11"/>
      <c r="K15" s="11"/>
      <c r="L15" s="11"/>
      <c r="M15" s="11">
        <f t="shared" si="0"/>
        <v>150715</v>
      </c>
      <c r="N15" s="11">
        <v>0</v>
      </c>
      <c r="P15" s="278">
        <v>8830</v>
      </c>
    </row>
    <row r="16" spans="1:16" ht="23.25">
      <c r="A16" s="6" t="s">
        <v>10</v>
      </c>
      <c r="B16" s="7" t="s">
        <v>11</v>
      </c>
      <c r="C16" s="11">
        <f>'ม.ค.'!M16</f>
        <v>911955</v>
      </c>
      <c r="D16" s="11">
        <f>'ม.ค.'!N16</f>
        <v>0</v>
      </c>
      <c r="E16" s="11"/>
      <c r="F16" s="11"/>
      <c r="G16" s="11">
        <v>327360</v>
      </c>
      <c r="H16" s="11"/>
      <c r="I16" s="11"/>
      <c r="J16" s="11"/>
      <c r="K16" s="11"/>
      <c r="L16" s="11"/>
      <c r="M16" s="11">
        <f t="shared" si="0"/>
        <v>1239315</v>
      </c>
      <c r="N16" s="11">
        <v>0</v>
      </c>
      <c r="O16" s="52"/>
      <c r="P16" s="279">
        <v>7220</v>
      </c>
    </row>
    <row r="17" spans="1:16" ht="23.25">
      <c r="A17" s="1" t="s">
        <v>12</v>
      </c>
      <c r="B17" s="2" t="s">
        <v>13</v>
      </c>
      <c r="C17" s="11">
        <f>'ม.ค.'!M17</f>
        <v>0</v>
      </c>
      <c r="D17" s="11">
        <f>'ม.ค.'!N17</f>
        <v>0</v>
      </c>
      <c r="E17" s="11"/>
      <c r="F17" s="11"/>
      <c r="G17" s="11">
        <v>0</v>
      </c>
      <c r="H17" s="11"/>
      <c r="I17" s="11"/>
      <c r="J17" s="11"/>
      <c r="K17" s="11"/>
      <c r="L17" s="11"/>
      <c r="M17" s="11">
        <f t="shared" si="0"/>
        <v>0</v>
      </c>
      <c r="N17" s="11">
        <f>SUM(D17+F17+H17+J17+L17)-(C17+E17+G17+I17+K17)</f>
        <v>0</v>
      </c>
      <c r="P17" s="279">
        <f>SUM(P13:P16)</f>
        <v>48845</v>
      </c>
    </row>
    <row r="18" spans="1:16" ht="23.25">
      <c r="A18" s="1" t="s">
        <v>14</v>
      </c>
      <c r="B18" s="2" t="s">
        <v>15</v>
      </c>
      <c r="C18" s="11">
        <f>'ม.ค.'!M18</f>
        <v>542960</v>
      </c>
      <c r="D18" s="11">
        <f>'ม.ค.'!N18</f>
        <v>0</v>
      </c>
      <c r="E18" s="11"/>
      <c r="F18" s="11"/>
      <c r="G18" s="11">
        <v>31180</v>
      </c>
      <c r="H18" s="11"/>
      <c r="I18" s="11"/>
      <c r="J18" s="11"/>
      <c r="K18" s="11"/>
      <c r="L18" s="11"/>
      <c r="M18" s="11">
        <f t="shared" si="0"/>
        <v>574140</v>
      </c>
      <c r="N18" s="11">
        <v>0</v>
      </c>
      <c r="O18" s="52"/>
      <c r="P18" s="270"/>
    </row>
    <row r="19" spans="1:14" ht="23.25">
      <c r="A19" s="1" t="s">
        <v>16</v>
      </c>
      <c r="B19" s="2" t="s">
        <v>17</v>
      </c>
      <c r="C19" s="11">
        <f>'ม.ค.'!M19</f>
        <v>1148358</v>
      </c>
      <c r="D19" s="11">
        <f>'ม.ค.'!N19</f>
        <v>0</v>
      </c>
      <c r="E19" s="11"/>
      <c r="F19" s="11"/>
      <c r="G19" s="11">
        <v>272550</v>
      </c>
      <c r="H19" s="11"/>
      <c r="I19" s="11"/>
      <c r="J19" s="11"/>
      <c r="K19" s="11"/>
      <c r="L19" s="11"/>
      <c r="M19" s="11">
        <f t="shared" si="0"/>
        <v>1420908</v>
      </c>
      <c r="N19" s="11">
        <v>0</v>
      </c>
    </row>
    <row r="20" spans="1:14" ht="23.25">
      <c r="A20" s="1" t="s">
        <v>18</v>
      </c>
      <c r="B20" s="2" t="s">
        <v>19</v>
      </c>
      <c r="C20" s="11">
        <f>'ม.ค.'!M20</f>
        <v>963097.1500000001</v>
      </c>
      <c r="D20" s="11">
        <f>'ม.ค.'!N20</f>
        <v>0</v>
      </c>
      <c r="E20" s="11"/>
      <c r="F20" s="11"/>
      <c r="G20" s="11">
        <v>228835.21</v>
      </c>
      <c r="H20" s="11"/>
      <c r="I20" s="11"/>
      <c r="J20" s="11"/>
      <c r="K20" s="11">
        <v>235540</v>
      </c>
      <c r="L20" s="11"/>
      <c r="M20" s="11">
        <f t="shared" si="0"/>
        <v>1427472.36</v>
      </c>
      <c r="N20" s="11">
        <v>0</v>
      </c>
    </row>
    <row r="21" spans="1:14" ht="23.25">
      <c r="A21" s="1" t="s">
        <v>20</v>
      </c>
      <c r="B21" s="2" t="s">
        <v>21</v>
      </c>
      <c r="C21" s="11">
        <f>'ม.ค.'!M21</f>
        <v>84849.05</v>
      </c>
      <c r="D21" s="11">
        <f>'ม.ค.'!N21</f>
        <v>0</v>
      </c>
      <c r="E21" s="12"/>
      <c r="F21" s="12"/>
      <c r="G21" s="12">
        <v>89640</v>
      </c>
      <c r="H21" s="12"/>
      <c r="I21" s="12"/>
      <c r="J21" s="12"/>
      <c r="K21" s="12"/>
      <c r="L21" s="12"/>
      <c r="M21" s="11">
        <f t="shared" si="0"/>
        <v>174489.05</v>
      </c>
      <c r="N21" s="11">
        <v>0</v>
      </c>
    </row>
    <row r="22" spans="1:14" ht="23.25">
      <c r="A22" s="1" t="s">
        <v>22</v>
      </c>
      <c r="B22" s="2" t="s">
        <v>23</v>
      </c>
      <c r="C22" s="11">
        <f>'ม.ค.'!M22</f>
        <v>38425.74</v>
      </c>
      <c r="D22" s="11">
        <f>'ม.ค.'!N22</f>
        <v>0</v>
      </c>
      <c r="E22" s="11"/>
      <c r="F22" s="11"/>
      <c r="G22" s="11">
        <v>5660.4</v>
      </c>
      <c r="H22" s="11"/>
      <c r="I22" s="11"/>
      <c r="J22" s="11"/>
      <c r="K22" s="11"/>
      <c r="L22" s="11"/>
      <c r="M22" s="11">
        <f t="shared" si="0"/>
        <v>44086.14</v>
      </c>
      <c r="N22" s="11">
        <v>0</v>
      </c>
    </row>
    <row r="23" spans="1:14" ht="23.25">
      <c r="A23" s="1" t="s">
        <v>24</v>
      </c>
      <c r="B23" s="2" t="s">
        <v>25</v>
      </c>
      <c r="C23" s="11">
        <f>'ม.ค.'!M23</f>
        <v>2167000</v>
      </c>
      <c r="D23" s="11">
        <f>'ม.ค.'!N23</f>
        <v>0</v>
      </c>
      <c r="E23" s="11"/>
      <c r="F23" s="11"/>
      <c r="G23" s="11">
        <v>20000</v>
      </c>
      <c r="H23" s="11"/>
      <c r="I23" s="11"/>
      <c r="J23" s="11"/>
      <c r="K23" s="11"/>
      <c r="L23" s="11"/>
      <c r="M23" s="11">
        <f t="shared" si="0"/>
        <v>2187000</v>
      </c>
      <c r="N23" s="11">
        <v>0</v>
      </c>
    </row>
    <row r="24" spans="1:14" ht="23.25">
      <c r="A24" s="1" t="s">
        <v>26</v>
      </c>
      <c r="B24" s="2" t="s">
        <v>27</v>
      </c>
      <c r="C24" s="11">
        <f>'ม.ค.'!M24</f>
        <v>0</v>
      </c>
      <c r="D24" s="11">
        <f>'ม.ค.'!N24</f>
        <v>0</v>
      </c>
      <c r="E24" s="11"/>
      <c r="F24" s="11"/>
      <c r="G24" s="11"/>
      <c r="H24" s="11"/>
      <c r="I24" s="11"/>
      <c r="J24" s="11"/>
      <c r="K24" s="11"/>
      <c r="L24" s="11"/>
      <c r="M24" s="11">
        <f t="shared" si="0"/>
        <v>0</v>
      </c>
      <c r="N24" s="11">
        <v>0</v>
      </c>
    </row>
    <row r="25" spans="1:14" ht="23.25">
      <c r="A25" s="1" t="s">
        <v>28</v>
      </c>
      <c r="B25" s="2" t="s">
        <v>29</v>
      </c>
      <c r="C25" s="11">
        <f>'ม.ค.'!M25</f>
        <v>0</v>
      </c>
      <c r="D25" s="11">
        <f>'ม.ค.'!N25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'ม.ค.'!M26</f>
        <v>0</v>
      </c>
      <c r="D26" s="11">
        <f>'ม.ค.'!N26</f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0</v>
      </c>
      <c r="N26" s="11">
        <v>0</v>
      </c>
    </row>
    <row r="27" spans="1:14" ht="23.25">
      <c r="A27" s="1" t="s">
        <v>41</v>
      </c>
      <c r="B27" s="2" t="s">
        <v>42</v>
      </c>
      <c r="C27" s="11">
        <f>'ม.ค.'!M27</f>
        <v>0</v>
      </c>
      <c r="D27" s="11">
        <f>'ม.ค.'!N27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v>0</v>
      </c>
      <c r="N27" s="11">
        <f aca="true" t="shared" si="1" ref="N27:N85">SUM(D27+F27+H27+J27+L27)-(C27+E27+G27+I27+K27)</f>
        <v>0</v>
      </c>
    </row>
    <row r="28" spans="1:14" ht="23.25">
      <c r="A28" s="1" t="s">
        <v>44</v>
      </c>
      <c r="B28" s="2" t="s">
        <v>30</v>
      </c>
      <c r="C28" s="11">
        <f>'ม.ค.'!M28</f>
        <v>0</v>
      </c>
      <c r="D28" s="11">
        <f>'ม.ค.'!N28</f>
        <v>2875247.9099999997</v>
      </c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1">
        <f>SUM(D28+F28+H28+J28+L28)-(C28+E28+G28+I28+K28)</f>
        <v>2875247.9099999997</v>
      </c>
    </row>
    <row r="29" spans="1:14" ht="23.25">
      <c r="A29" s="1" t="s">
        <v>45</v>
      </c>
      <c r="B29" s="2" t="s">
        <v>43</v>
      </c>
      <c r="C29" s="11">
        <f>'ม.ค.'!M29</f>
        <v>0</v>
      </c>
      <c r="D29" s="11">
        <f>'ม.ค.'!N29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32</v>
      </c>
      <c r="B30" s="2" t="s">
        <v>31</v>
      </c>
      <c r="C30" s="11">
        <f>'ม.ค.'!M31</f>
        <v>0</v>
      </c>
      <c r="D30" s="11">
        <f>'ม.ค.'!N31</f>
        <v>0</v>
      </c>
      <c r="E30" s="11"/>
      <c r="F30" s="11">
        <v>6902605.19</v>
      </c>
      <c r="G30" s="11"/>
      <c r="H30" s="11"/>
      <c r="I30" s="11">
        <v>6902605.19</v>
      </c>
      <c r="J30" s="11"/>
      <c r="K30" s="11"/>
      <c r="L30" s="11"/>
      <c r="M30" s="11">
        <f>SUM(C30+E30+G30+I30+K30)-(D30+F30+H30+J30+L30)</f>
        <v>0</v>
      </c>
      <c r="N30" s="11">
        <v>0</v>
      </c>
    </row>
    <row r="31" spans="1:14" ht="23.25">
      <c r="A31" s="1" t="s">
        <v>35</v>
      </c>
      <c r="B31" s="2" t="s">
        <v>33</v>
      </c>
      <c r="C31" s="11">
        <f>'ม.ค.'!M32</f>
        <v>0</v>
      </c>
      <c r="D31" s="11">
        <f>'ม.ค.'!N32</f>
        <v>0</v>
      </c>
      <c r="E31" s="11"/>
      <c r="F31" s="11"/>
      <c r="G31" s="11"/>
      <c r="H31" s="11"/>
      <c r="I31" s="11"/>
      <c r="J31" s="11"/>
      <c r="K31" s="11"/>
      <c r="L31" s="11"/>
      <c r="M31" s="11">
        <v>0</v>
      </c>
      <c r="N31" s="11">
        <f t="shared" si="1"/>
        <v>0</v>
      </c>
    </row>
    <row r="32" spans="1:61" ht="23.25">
      <c r="A32" s="1" t="s">
        <v>141</v>
      </c>
      <c r="B32" s="2" t="s">
        <v>46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v>0</v>
      </c>
      <c r="N32" s="11">
        <f>SUM(D32+F32+H32+J32+L32)-(C32+E32+G32+I32+K32)</f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G32" s="5"/>
      <c r="BH32" s="5"/>
      <c r="BI32" s="5"/>
    </row>
    <row r="33" spans="1:14" ht="23.25">
      <c r="A33" s="1" t="s">
        <v>136</v>
      </c>
      <c r="B33" s="2" t="s">
        <v>47</v>
      </c>
      <c r="C33" s="11">
        <f>'ม.ค.'!M33</f>
        <v>0</v>
      </c>
      <c r="D33" s="11">
        <f>'ม.ค.'!N33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'ม.ค.'!M34</f>
        <v>0</v>
      </c>
      <c r="D34" s="11">
        <f>'ม.ค.'!N34</f>
        <v>0</v>
      </c>
      <c r="E34" s="11"/>
      <c r="F34" s="11"/>
      <c r="G34" s="11"/>
      <c r="H34" s="11"/>
      <c r="I34" s="11"/>
      <c r="J34" s="11"/>
      <c r="K34" s="11"/>
      <c r="L34" s="11"/>
      <c r="M34" s="11">
        <f>SUM(C34+E34+G34+I34+K34)-(D34+F34+H34+J34+L34)</f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'ม.ค.'!M35</f>
        <v>0</v>
      </c>
      <c r="D35" s="11">
        <f>'ม.ค.'!N35</f>
        <v>366.7900000000004</v>
      </c>
      <c r="E35" s="11"/>
      <c r="F35" s="11"/>
      <c r="G35" s="11">
        <v>366.79</v>
      </c>
      <c r="H35" s="11">
        <v>2300.27</v>
      </c>
      <c r="I35" s="11"/>
      <c r="J35" s="11"/>
      <c r="K35" s="11"/>
      <c r="L35" s="11"/>
      <c r="M35" s="11">
        <v>0</v>
      </c>
      <c r="N35" s="11">
        <f t="shared" si="1"/>
        <v>2300.2700000000004</v>
      </c>
    </row>
    <row r="36" spans="1:14" ht="23.25">
      <c r="A36" s="6" t="s">
        <v>72</v>
      </c>
      <c r="B36" s="7">
        <v>903</v>
      </c>
      <c r="C36" s="11">
        <f>'ม.ค.'!M36</f>
        <v>0</v>
      </c>
      <c r="D36" s="11">
        <f>'ม.ค.'!N36</f>
        <v>454301.5</v>
      </c>
      <c r="E36" s="11"/>
      <c r="F36" s="11"/>
      <c r="G36" s="11"/>
      <c r="H36" s="11"/>
      <c r="I36" s="11"/>
      <c r="J36" s="11"/>
      <c r="K36" s="11"/>
      <c r="L36" s="11"/>
      <c r="M36" s="11">
        <v>0</v>
      </c>
      <c r="N36" s="11">
        <f t="shared" si="1"/>
        <v>454301.5</v>
      </c>
    </row>
    <row r="37" spans="1:14" ht="23.25">
      <c r="A37" s="1" t="s">
        <v>73</v>
      </c>
      <c r="B37" s="2">
        <v>904</v>
      </c>
      <c r="C37" s="11">
        <f>'ม.ค.'!M37</f>
        <v>1690</v>
      </c>
      <c r="D37" s="11">
        <f>'ม.ค.'!N37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>SUM(C37+E37+G37+I37+K37)-(D37+F37+H37+J37+L37)</f>
        <v>1690</v>
      </c>
      <c r="N37" s="11">
        <v>0</v>
      </c>
    </row>
    <row r="38" spans="1:14" ht="23.25">
      <c r="A38" s="1" t="s">
        <v>74</v>
      </c>
      <c r="B38" s="2" t="s">
        <v>49</v>
      </c>
      <c r="C38" s="11">
        <f>'ม.ค.'!M38</f>
        <v>0</v>
      </c>
      <c r="D38" s="11">
        <f>'ม.ค.'!N38</f>
        <v>0</v>
      </c>
      <c r="E38" s="11"/>
      <c r="F38" s="11"/>
      <c r="G38" s="11"/>
      <c r="H38" s="11"/>
      <c r="I38" s="11"/>
      <c r="J38" s="11"/>
      <c r="K38" s="11"/>
      <c r="L38" s="11"/>
      <c r="M38" s="11">
        <v>0</v>
      </c>
      <c r="N38" s="11">
        <f t="shared" si="1"/>
        <v>0</v>
      </c>
    </row>
    <row r="39" spans="1:14" ht="23.25">
      <c r="A39" s="1" t="s">
        <v>75</v>
      </c>
      <c r="B39" s="2" t="s">
        <v>50</v>
      </c>
      <c r="C39" s="11">
        <f>'ม.ค.'!M39</f>
        <v>0</v>
      </c>
      <c r="D39" s="11">
        <f>'ม.ค.'!N39</f>
        <v>0</v>
      </c>
      <c r="E39" s="11"/>
      <c r="F39" s="11"/>
      <c r="G39" s="11"/>
      <c r="H39" s="11"/>
      <c r="I39" s="11"/>
      <c r="J39" s="11"/>
      <c r="K39" s="11"/>
      <c r="L39" s="11"/>
      <c r="M39" s="11">
        <v>0</v>
      </c>
      <c r="N39" s="11">
        <f t="shared" si="1"/>
        <v>0</v>
      </c>
    </row>
    <row r="40" spans="1:14" ht="23.25">
      <c r="A40" s="1" t="s">
        <v>54</v>
      </c>
      <c r="B40" s="2">
        <v>900</v>
      </c>
      <c r="C40" s="11">
        <f>'ม.ค.'!M40</f>
        <v>0</v>
      </c>
      <c r="D40" s="11">
        <f>'ม.ค.'!N40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aca="true" t="shared" si="2" ref="M40:M47">SUM(C40+E40+G40+I40+K40)-(D40+F40+H40+J40+L40)</f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'ม.ค.'!M41</f>
        <v>0</v>
      </c>
      <c r="D41" s="11">
        <f>'ม.ค.'!N41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v>0</v>
      </c>
      <c r="N41" s="11">
        <f t="shared" si="1"/>
        <v>0</v>
      </c>
    </row>
    <row r="42" spans="1:14" ht="23.25">
      <c r="A42" s="1" t="s">
        <v>56</v>
      </c>
      <c r="B42" s="2">
        <v>900</v>
      </c>
      <c r="C42" s="11">
        <f>'ม.ค.'!M42</f>
        <v>0</v>
      </c>
      <c r="D42" s="11">
        <f>'ม.ค.'!N42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2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'ม.ค.'!M43</f>
        <v>0</v>
      </c>
      <c r="D43" s="11">
        <f>'ม.ค.'!N43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2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'ม.ค.'!M44</f>
        <v>33780</v>
      </c>
      <c r="D44" s="11">
        <f>'ม.ค.'!N44</f>
        <v>0</v>
      </c>
      <c r="E44" s="11"/>
      <c r="F44" s="11"/>
      <c r="G44" s="11">
        <v>33780</v>
      </c>
      <c r="H44" s="11"/>
      <c r="I44" s="11"/>
      <c r="J44" s="11"/>
      <c r="K44" s="11"/>
      <c r="L44" s="11"/>
      <c r="M44" s="11">
        <f t="shared" si="2"/>
        <v>67560</v>
      </c>
      <c r="N44" s="11">
        <v>0</v>
      </c>
    </row>
    <row r="45" spans="1:14" ht="23.25">
      <c r="A45" s="6" t="s">
        <v>58</v>
      </c>
      <c r="B45" s="2">
        <v>900</v>
      </c>
      <c r="C45" s="11">
        <f>'ม.ค.'!M45</f>
        <v>8460</v>
      </c>
      <c r="D45" s="11">
        <f>'ม.ค.'!N45</f>
        <v>0</v>
      </c>
      <c r="E45" s="11"/>
      <c r="F45" s="11"/>
      <c r="G45" s="11">
        <v>8460</v>
      </c>
      <c r="H45" s="11"/>
      <c r="I45" s="11"/>
      <c r="J45" s="11"/>
      <c r="K45" s="11"/>
      <c r="L45" s="11"/>
      <c r="M45" s="11">
        <f t="shared" si="2"/>
        <v>16920</v>
      </c>
      <c r="N45" s="11">
        <v>0</v>
      </c>
    </row>
    <row r="46" spans="1:14" ht="23.25">
      <c r="A46" s="1" t="s">
        <v>158</v>
      </c>
      <c r="B46" s="2">
        <v>900</v>
      </c>
      <c r="C46" s="11">
        <f>'ม.ค.'!M46</f>
        <v>0</v>
      </c>
      <c r="D46" s="11">
        <f>'ม.ค.'!N46</f>
        <v>0</v>
      </c>
      <c r="E46" s="11"/>
      <c r="F46" s="11"/>
      <c r="G46" s="11">
        <v>2219</v>
      </c>
      <c r="H46" s="11"/>
      <c r="I46" s="11"/>
      <c r="J46" s="11"/>
      <c r="K46" s="11"/>
      <c r="L46" s="11"/>
      <c r="M46" s="11">
        <f t="shared" si="2"/>
        <v>2219</v>
      </c>
      <c r="N46" s="11">
        <v>0</v>
      </c>
    </row>
    <row r="47" spans="1:14" ht="23.25">
      <c r="A47" s="1" t="s">
        <v>166</v>
      </c>
      <c r="B47" s="2">
        <v>900</v>
      </c>
      <c r="C47" s="11">
        <f>'ม.ค.'!M47</f>
        <v>0</v>
      </c>
      <c r="D47" s="11">
        <f>'ม.ค.'!N47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2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'ม.ค.'!M48</f>
        <v>0</v>
      </c>
      <c r="D48" s="11">
        <f>'ม.ค.'!N48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v>0</v>
      </c>
      <c r="N48" s="11">
        <f t="shared" si="1"/>
        <v>0</v>
      </c>
    </row>
    <row r="49" spans="1:15" ht="23.25">
      <c r="A49" s="1" t="s">
        <v>61</v>
      </c>
      <c r="B49" s="2" t="s">
        <v>34</v>
      </c>
      <c r="C49" s="11">
        <f>'ม.ค.'!M49</f>
        <v>0</v>
      </c>
      <c r="D49" s="11">
        <f>'ม.ค.'!N49</f>
        <v>899854</v>
      </c>
      <c r="E49" s="11"/>
      <c r="F49" s="11">
        <v>25000</v>
      </c>
      <c r="G49" s="11"/>
      <c r="H49" s="11"/>
      <c r="I49" s="11"/>
      <c r="J49" s="11"/>
      <c r="K49" s="11"/>
      <c r="L49" s="11"/>
      <c r="M49" s="11">
        <v>0</v>
      </c>
      <c r="N49" s="11">
        <f t="shared" si="1"/>
        <v>924854</v>
      </c>
      <c r="O49" s="52"/>
    </row>
    <row r="50" spans="1:15" ht="23.25">
      <c r="A50" s="1" t="s">
        <v>62</v>
      </c>
      <c r="B50" s="2" t="s">
        <v>34</v>
      </c>
      <c r="C50" s="11">
        <f>'ม.ค.'!M50</f>
        <v>0</v>
      </c>
      <c r="D50" s="11">
        <f>'ม.ค.'!N50</f>
        <v>13174.85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13174.85</v>
      </c>
      <c r="O50" s="52"/>
    </row>
    <row r="51" spans="1:14" ht="23.25">
      <c r="A51" s="1" t="s">
        <v>144</v>
      </c>
      <c r="B51" s="2">
        <v>900</v>
      </c>
      <c r="C51" s="11">
        <f>'ม.ค.'!M51</f>
        <v>0</v>
      </c>
      <c r="D51" s="11">
        <f>'ม.ค.'!N51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f>SUM(C51+E51+G51+I51+K51)-(D51+F51+H51+J51+L51)</f>
        <v>0</v>
      </c>
      <c r="N51" s="11">
        <v>0</v>
      </c>
    </row>
    <row r="52" spans="1:14" ht="23.25">
      <c r="A52" s="1" t="s">
        <v>64</v>
      </c>
      <c r="B52" s="2">
        <v>900</v>
      </c>
      <c r="C52" s="11">
        <f>'ม.ค.'!M52</f>
        <v>0</v>
      </c>
      <c r="D52" s="11">
        <f>'ม.ค.'!N52</f>
        <v>2000</v>
      </c>
      <c r="E52" s="11"/>
      <c r="F52" s="11"/>
      <c r="G52" s="11"/>
      <c r="H52" s="11"/>
      <c r="I52" s="11"/>
      <c r="J52" s="11"/>
      <c r="K52" s="11"/>
      <c r="L52" s="11"/>
      <c r="M52" s="11">
        <v>0</v>
      </c>
      <c r="N52" s="11">
        <f t="shared" si="1"/>
        <v>2000</v>
      </c>
    </row>
    <row r="53" spans="1:14" ht="23.25">
      <c r="A53" s="1" t="s">
        <v>65</v>
      </c>
      <c r="B53" s="2">
        <v>900</v>
      </c>
      <c r="C53" s="11">
        <f>'ม.ค.'!M53</f>
        <v>0</v>
      </c>
      <c r="D53" s="11">
        <f>'ม.ค.'!N53</f>
        <v>500</v>
      </c>
      <c r="E53" s="11"/>
      <c r="F53" s="11"/>
      <c r="G53" s="11"/>
      <c r="H53" s="11"/>
      <c r="I53" s="11"/>
      <c r="J53" s="11"/>
      <c r="K53" s="11"/>
      <c r="L53" s="11"/>
      <c r="M53" s="11">
        <v>0</v>
      </c>
      <c r="N53" s="11">
        <f t="shared" si="1"/>
        <v>500</v>
      </c>
    </row>
    <row r="54" spans="1:14" ht="23.25">
      <c r="A54" s="1" t="s">
        <v>66</v>
      </c>
      <c r="B54" s="2">
        <v>900</v>
      </c>
      <c r="C54" s="11">
        <f>'ม.ค.'!M54</f>
        <v>0</v>
      </c>
      <c r="D54" s="11">
        <f>'ม.ค.'!N54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f>SUM(C54+E54+G54+I54+K54)-(D54+F54+H54+J54+L54)</f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f>'ม.ค.'!M55</f>
        <v>0</v>
      </c>
      <c r="D55" s="11">
        <f>'ม.ค.'!N55</f>
        <v>0</v>
      </c>
      <c r="E55" s="11"/>
      <c r="F55" s="11"/>
      <c r="G55" s="11"/>
      <c r="H55" s="11"/>
      <c r="I55" s="11"/>
      <c r="J55" s="11"/>
      <c r="K55" s="11"/>
      <c r="L55" s="11"/>
      <c r="M55" s="11">
        <f>SUM(C55+E55+G55+I55+K55)-(D55+F55+H55+J55+L55)</f>
        <v>0</v>
      </c>
      <c r="N55" s="11">
        <v>0</v>
      </c>
    </row>
    <row r="56" spans="1:14" ht="23.25">
      <c r="A56" s="1" t="s">
        <v>142</v>
      </c>
      <c r="B56" s="2" t="s">
        <v>34</v>
      </c>
      <c r="C56" s="11">
        <f>'ม.ค.'!M56</f>
        <v>0</v>
      </c>
      <c r="D56" s="11">
        <f>'ม.ค.'!N56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'ม.ค.'!M57</f>
        <v>0</v>
      </c>
      <c r="D57" s="11">
        <f>'ม.ค.'!N57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>SUM(C57+E57+G57+I57+K57)-(D57+F57+H57+J57+L57)</f>
        <v>0</v>
      </c>
      <c r="N57" s="11">
        <f t="shared" si="1"/>
        <v>0</v>
      </c>
    </row>
    <row r="58" spans="1:14" ht="23.25">
      <c r="A58" s="1" t="s">
        <v>292</v>
      </c>
      <c r="B58" s="2" t="s">
        <v>34</v>
      </c>
      <c r="C58" s="11">
        <f>'ม.ค.'!M58</f>
        <v>0</v>
      </c>
      <c r="D58" s="11">
        <f>'ม.ค.'!N58</f>
        <v>295</v>
      </c>
      <c r="E58" s="12"/>
      <c r="F58" s="12"/>
      <c r="G58" s="12"/>
      <c r="H58" s="12"/>
      <c r="I58" s="12"/>
      <c r="J58" s="12"/>
      <c r="K58" s="12"/>
      <c r="L58" s="12"/>
      <c r="M58" s="11">
        <v>0</v>
      </c>
      <c r="N58" s="11">
        <f t="shared" si="1"/>
        <v>295</v>
      </c>
    </row>
    <row r="59" spans="1:14" ht="23.25">
      <c r="A59" s="1" t="s">
        <v>70</v>
      </c>
      <c r="B59" s="2" t="s">
        <v>34</v>
      </c>
      <c r="C59" s="11">
        <f>'ม.ค.'!M59</f>
        <v>0</v>
      </c>
      <c r="D59" s="11">
        <f>'ม.ค.'!N59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'ม.ค.'!M60</f>
        <v>0</v>
      </c>
      <c r="D60" s="11">
        <f>'ม.ค.'!N60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f>'ม.ค.'!M61</f>
        <v>0</v>
      </c>
      <c r="D61" s="11">
        <f>'ม.ค.'!N61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'ม.ค.'!M62</f>
        <v>0</v>
      </c>
      <c r="D62" s="11">
        <f>'ม.ค.'!N62</f>
        <v>0</v>
      </c>
      <c r="E62" s="11"/>
      <c r="F62" s="11"/>
      <c r="G62" s="11"/>
      <c r="H62" s="11"/>
      <c r="I62" s="11"/>
      <c r="J62" s="11"/>
      <c r="K62" s="11"/>
      <c r="L62" s="11"/>
      <c r="M62" s="11">
        <f>SUM(C62+E62+G62+I62+K62)-(D62+F62+H62+J62+L62)</f>
        <v>0</v>
      </c>
      <c r="N62" s="11">
        <f t="shared" si="1"/>
        <v>0</v>
      </c>
    </row>
    <row r="63" spans="1:14" ht="23.25">
      <c r="A63" s="1" t="s">
        <v>278</v>
      </c>
      <c r="B63" s="2" t="s">
        <v>167</v>
      </c>
      <c r="C63" s="11">
        <f>'ม.ค.'!M63</f>
        <v>0</v>
      </c>
      <c r="D63" s="11">
        <f>'ม.ค.'!N63</f>
        <v>103898</v>
      </c>
      <c r="E63" s="11"/>
      <c r="F63" s="11"/>
      <c r="G63" s="11"/>
      <c r="H63" s="11"/>
      <c r="I63" s="11"/>
      <c r="J63" s="11"/>
      <c r="K63" s="11"/>
      <c r="L63" s="11"/>
      <c r="M63" s="11">
        <v>0</v>
      </c>
      <c r="N63" s="11">
        <f t="shared" si="1"/>
        <v>103898</v>
      </c>
    </row>
    <row r="64" spans="1:14" ht="23.25">
      <c r="A64" s="1" t="s">
        <v>277</v>
      </c>
      <c r="B64" s="2" t="s">
        <v>163</v>
      </c>
      <c r="C64" s="11">
        <f>'ม.ค.'!M64</f>
        <v>0</v>
      </c>
      <c r="D64" s="11">
        <f>'ม.ค.'!N64</f>
        <v>635000</v>
      </c>
      <c r="E64" s="11"/>
      <c r="F64" s="11"/>
      <c r="G64" s="11">
        <f>4000+313500</f>
        <v>317500</v>
      </c>
      <c r="H64" s="11"/>
      <c r="I64" s="11"/>
      <c r="J64" s="11"/>
      <c r="K64" s="11"/>
      <c r="L64" s="11"/>
      <c r="M64" s="11">
        <v>0</v>
      </c>
      <c r="N64" s="11">
        <f t="shared" si="1"/>
        <v>317500</v>
      </c>
    </row>
    <row r="65" spans="1:14" ht="23.25">
      <c r="A65" s="1" t="s">
        <v>297</v>
      </c>
      <c r="B65" s="2" t="s">
        <v>167</v>
      </c>
      <c r="C65" s="11">
        <f>'ม.ค.'!M65</f>
        <v>0</v>
      </c>
      <c r="D65" s="11">
        <f>'ม.ค.'!N65</f>
        <v>0</v>
      </c>
      <c r="E65" s="11"/>
      <c r="F65" s="11"/>
      <c r="G65" s="11"/>
      <c r="H65" s="11"/>
      <c r="I65" s="11"/>
      <c r="J65" s="11"/>
      <c r="K65" s="11"/>
      <c r="L65" s="11"/>
      <c r="M65" s="11">
        <f>SUM(C65+E65+G65+I65+K65)-(D65+F65+H65+J65+L65)</f>
        <v>0</v>
      </c>
      <c r="N65" s="11">
        <v>0</v>
      </c>
    </row>
    <row r="66" spans="1:14" ht="23.25">
      <c r="A66" s="1" t="s">
        <v>120</v>
      </c>
      <c r="B66" s="2" t="s">
        <v>34</v>
      </c>
      <c r="C66" s="11">
        <f>'ม.ค.'!M66</f>
        <v>0</v>
      </c>
      <c r="D66" s="11">
        <f>'ม.ค.'!N66</f>
        <v>0</v>
      </c>
      <c r="E66" s="11"/>
      <c r="F66" s="11"/>
      <c r="G66" s="11"/>
      <c r="H66" s="11"/>
      <c r="I66" s="11"/>
      <c r="J66" s="11"/>
      <c r="K66" s="11"/>
      <c r="L66" s="11"/>
      <c r="M66" s="11"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f>'ม.ค.'!M67</f>
        <v>0</v>
      </c>
      <c r="D67" s="11">
        <f>'ม.ค.'!N67</f>
        <v>48700</v>
      </c>
      <c r="E67" s="11"/>
      <c r="F67" s="11"/>
      <c r="G67" s="11">
        <v>48700</v>
      </c>
      <c r="H67" s="11">
        <v>48700</v>
      </c>
      <c r="I67" s="11"/>
      <c r="J67" s="11"/>
      <c r="K67" s="11">
        <v>48700</v>
      </c>
      <c r="L67" s="11"/>
      <c r="M67" s="11">
        <v>0</v>
      </c>
      <c r="N67" s="11">
        <f t="shared" si="1"/>
        <v>0</v>
      </c>
    </row>
    <row r="68" spans="1:14" ht="23.25">
      <c r="A68" s="1" t="s">
        <v>121</v>
      </c>
      <c r="B68" s="40" t="s">
        <v>34</v>
      </c>
      <c r="C68" s="11">
        <f>'ม.ค.'!M68</f>
        <v>0</v>
      </c>
      <c r="D68" s="11">
        <f>'ม.ค.'!N68</f>
        <v>0</v>
      </c>
      <c r="E68" s="11"/>
      <c r="F68" s="11"/>
      <c r="G68" s="11"/>
      <c r="H68" s="11"/>
      <c r="I68" s="11"/>
      <c r="J68" s="11"/>
      <c r="K68" s="11"/>
      <c r="L68" s="11"/>
      <c r="M68" s="11">
        <f>SUM(C68+E68+G68+I68+K68)-(D68+F68+H68+J68+L68)</f>
        <v>0</v>
      </c>
      <c r="N68" s="11">
        <v>0</v>
      </c>
    </row>
    <row r="69" spans="1:14" ht="23.25">
      <c r="A69" s="51" t="s">
        <v>94</v>
      </c>
      <c r="B69" s="40" t="s">
        <v>79</v>
      </c>
      <c r="C69" s="11">
        <f>'ม.ค.'!M69</f>
        <v>0</v>
      </c>
      <c r="D69" s="11">
        <f>'ม.ค.'!N69</f>
        <v>800</v>
      </c>
      <c r="E69" s="11"/>
      <c r="F69" s="11"/>
      <c r="G69" s="11"/>
      <c r="H69" s="11"/>
      <c r="I69" s="11"/>
      <c r="J69" s="11">
        <v>18300</v>
      </c>
      <c r="K69" s="11"/>
      <c r="L69" s="11"/>
      <c r="M69" s="11">
        <v>0</v>
      </c>
      <c r="N69" s="11">
        <f t="shared" si="1"/>
        <v>19100</v>
      </c>
    </row>
    <row r="70" spans="1:14" ht="23.25">
      <c r="A70" s="51" t="s">
        <v>95</v>
      </c>
      <c r="B70" s="40" t="s">
        <v>80</v>
      </c>
      <c r="C70" s="11">
        <f>'ม.ค.'!M70</f>
        <v>0</v>
      </c>
      <c r="D70" s="11">
        <f>'ม.ค.'!N70</f>
        <v>0</v>
      </c>
      <c r="E70" s="11"/>
      <c r="F70" s="11"/>
      <c r="G70" s="11"/>
      <c r="H70" s="11"/>
      <c r="I70" s="11"/>
      <c r="J70" s="11">
        <v>0</v>
      </c>
      <c r="K70" s="11"/>
      <c r="L70" s="11"/>
      <c r="M70" s="11">
        <v>0</v>
      </c>
      <c r="N70" s="11">
        <f t="shared" si="1"/>
        <v>0</v>
      </c>
    </row>
    <row r="71" spans="1:14" ht="23.25">
      <c r="A71" s="51" t="s">
        <v>96</v>
      </c>
      <c r="B71" s="40" t="s">
        <v>81</v>
      </c>
      <c r="C71" s="11">
        <f>'ม.ค.'!M71</f>
        <v>0</v>
      </c>
      <c r="D71" s="11">
        <f>'ม.ค.'!N71</f>
        <v>5853</v>
      </c>
      <c r="E71" s="11"/>
      <c r="F71" s="11"/>
      <c r="G71" s="11"/>
      <c r="H71" s="11"/>
      <c r="I71" s="11"/>
      <c r="J71" s="11"/>
      <c r="K71" s="11"/>
      <c r="L71" s="11"/>
      <c r="M71" s="11">
        <v>0</v>
      </c>
      <c r="N71" s="11">
        <f t="shared" si="1"/>
        <v>5853</v>
      </c>
    </row>
    <row r="72" spans="1:14" ht="23.25">
      <c r="A72" s="51" t="s">
        <v>164</v>
      </c>
      <c r="B72" s="40" t="s">
        <v>162</v>
      </c>
      <c r="C72" s="11">
        <f>'ม.ค.'!M72</f>
        <v>0</v>
      </c>
      <c r="D72" s="11">
        <f>'ม.ค.'!N72</f>
        <v>17520</v>
      </c>
      <c r="E72" s="11"/>
      <c r="F72" s="11"/>
      <c r="G72" s="11"/>
      <c r="H72" s="11"/>
      <c r="I72" s="11"/>
      <c r="J72" s="11">
        <v>3690</v>
      </c>
      <c r="K72" s="11"/>
      <c r="L72" s="11"/>
      <c r="M72" s="11">
        <v>0</v>
      </c>
      <c r="N72" s="11">
        <f t="shared" si="1"/>
        <v>21210</v>
      </c>
    </row>
    <row r="73" spans="1:14" ht="23.25">
      <c r="A73" s="51" t="s">
        <v>97</v>
      </c>
      <c r="B73" s="40" t="s">
        <v>83</v>
      </c>
      <c r="C73" s="11">
        <f>'ม.ค.'!M73</f>
        <v>0</v>
      </c>
      <c r="D73" s="11">
        <f>'ม.ค.'!N73</f>
        <v>1540188.6099999999</v>
      </c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1">
        <f t="shared" si="1"/>
        <v>1540188.6099999999</v>
      </c>
    </row>
    <row r="74" spans="1:14" ht="23.25">
      <c r="A74" s="51" t="s">
        <v>125</v>
      </c>
      <c r="B74" s="40" t="s">
        <v>160</v>
      </c>
      <c r="C74" s="11">
        <f>'ม.ค.'!M74</f>
        <v>0</v>
      </c>
      <c r="D74" s="11">
        <f>'ม.ค.'!N74</f>
        <v>658238.73</v>
      </c>
      <c r="E74" s="11"/>
      <c r="F74" s="11"/>
      <c r="G74" s="11"/>
      <c r="H74" s="11"/>
      <c r="I74" s="11"/>
      <c r="J74" s="11"/>
      <c r="K74" s="11"/>
      <c r="L74" s="11"/>
      <c r="M74" s="11">
        <v>0</v>
      </c>
      <c r="N74" s="11">
        <f t="shared" si="1"/>
        <v>658238.73</v>
      </c>
    </row>
    <row r="75" spans="1:14" ht="23.25">
      <c r="A75" s="51" t="s">
        <v>123</v>
      </c>
      <c r="B75" s="40" t="s">
        <v>161</v>
      </c>
      <c r="C75" s="11">
        <f>'ม.ค.'!M75</f>
        <v>0</v>
      </c>
      <c r="D75" s="11">
        <f>'ม.ค.'!N75</f>
        <v>46716</v>
      </c>
      <c r="E75" s="11"/>
      <c r="F75" s="11"/>
      <c r="G75" s="11"/>
      <c r="H75" s="11"/>
      <c r="I75" s="11"/>
      <c r="J75" s="11">
        <v>11424</v>
      </c>
      <c r="K75" s="11"/>
      <c r="L75" s="11"/>
      <c r="M75" s="11">
        <v>0</v>
      </c>
      <c r="N75" s="11">
        <f t="shared" si="1"/>
        <v>58140</v>
      </c>
    </row>
    <row r="76" spans="1:14" ht="23.25">
      <c r="A76" s="51" t="s">
        <v>98</v>
      </c>
      <c r="B76" s="40" t="s">
        <v>85</v>
      </c>
      <c r="C76" s="11">
        <f>'ม.ค.'!M76</f>
        <v>0</v>
      </c>
      <c r="D76" s="11">
        <f>'ม.ค.'!N76</f>
        <v>365619.09</v>
      </c>
      <c r="E76" s="11"/>
      <c r="F76" s="11"/>
      <c r="G76" s="11"/>
      <c r="H76" s="11"/>
      <c r="I76" s="11"/>
      <c r="J76" s="11">
        <v>26.19</v>
      </c>
      <c r="K76" s="11"/>
      <c r="L76" s="11"/>
      <c r="M76" s="11">
        <v>0</v>
      </c>
      <c r="N76" s="11">
        <f t="shared" si="1"/>
        <v>365645.28</v>
      </c>
    </row>
    <row r="77" spans="1:14" ht="23.25">
      <c r="A77" s="51" t="s">
        <v>99</v>
      </c>
      <c r="B77" s="40" t="s">
        <v>86</v>
      </c>
      <c r="C77" s="11">
        <f>'ม.ค.'!M77</f>
        <v>0</v>
      </c>
      <c r="D77" s="11">
        <f>'ม.ค.'!N77</f>
        <v>972195.55</v>
      </c>
      <c r="E77" s="11"/>
      <c r="F77" s="11"/>
      <c r="G77" s="11"/>
      <c r="H77" s="11"/>
      <c r="I77" s="11"/>
      <c r="J77" s="11"/>
      <c r="K77" s="11"/>
      <c r="L77" s="11"/>
      <c r="M77" s="11">
        <v>0</v>
      </c>
      <c r="N77" s="11">
        <f t="shared" si="1"/>
        <v>972195.55</v>
      </c>
    </row>
    <row r="78" spans="1:14" ht="23.25">
      <c r="A78" s="51" t="s">
        <v>100</v>
      </c>
      <c r="B78" s="40" t="s">
        <v>87</v>
      </c>
      <c r="C78" s="11">
        <f>'ม.ค.'!M78</f>
        <v>0</v>
      </c>
      <c r="D78" s="11">
        <f>'ม.ค.'!N78</f>
        <v>7068.06</v>
      </c>
      <c r="E78" s="11"/>
      <c r="F78" s="11"/>
      <c r="G78" s="11"/>
      <c r="H78" s="11"/>
      <c r="I78" s="11"/>
      <c r="J78" s="11"/>
      <c r="K78" s="11"/>
      <c r="L78" s="11"/>
      <c r="M78" s="11">
        <v>0</v>
      </c>
      <c r="N78" s="11">
        <f t="shared" si="1"/>
        <v>7068.06</v>
      </c>
    </row>
    <row r="79" spans="1:14" ht="23.25">
      <c r="A79" s="51" t="s">
        <v>293</v>
      </c>
      <c r="B79" s="40" t="s">
        <v>87</v>
      </c>
      <c r="C79" s="11"/>
      <c r="D79" s="11">
        <f>'ม.ค.'!N79</f>
        <v>11653.88</v>
      </c>
      <c r="E79" s="11"/>
      <c r="F79" s="11"/>
      <c r="G79" s="11"/>
      <c r="H79" s="11"/>
      <c r="I79" s="11"/>
      <c r="J79" s="11"/>
      <c r="K79" s="11"/>
      <c r="L79" s="11"/>
      <c r="M79" s="11">
        <v>0</v>
      </c>
      <c r="N79" s="11">
        <f t="shared" si="1"/>
        <v>11653.88</v>
      </c>
    </row>
    <row r="80" spans="1:14" ht="23.25">
      <c r="A80" s="51" t="s">
        <v>280</v>
      </c>
      <c r="B80" s="40" t="s">
        <v>88</v>
      </c>
      <c r="C80" s="11">
        <f>'ม.ค.'!M80</f>
        <v>0</v>
      </c>
      <c r="D80" s="11">
        <f>'ม.ค.'!N80</f>
        <v>2.91</v>
      </c>
      <c r="E80" s="11"/>
      <c r="F80" s="11"/>
      <c r="G80" s="11"/>
      <c r="H80" s="11"/>
      <c r="I80" s="11"/>
      <c r="J80" s="11"/>
      <c r="K80" s="11"/>
      <c r="L80" s="11"/>
      <c r="M80" s="11">
        <v>0</v>
      </c>
      <c r="N80" s="11">
        <f>SUM(D80+F80+H80+J80+L80)-(C80+E80+G80+I80+K80)</f>
        <v>2.91</v>
      </c>
    </row>
    <row r="81" spans="1:14" ht="23.25">
      <c r="A81" s="51" t="s">
        <v>124</v>
      </c>
      <c r="B81" s="40" t="s">
        <v>89</v>
      </c>
      <c r="C81" s="11">
        <f>'ม.ค.'!M81</f>
        <v>0</v>
      </c>
      <c r="D81" s="11">
        <f>'ม.ค.'!N81</f>
        <v>102256</v>
      </c>
      <c r="E81" s="11"/>
      <c r="F81" s="11"/>
      <c r="G81" s="11"/>
      <c r="H81" s="11"/>
      <c r="I81" s="11"/>
      <c r="J81" s="11">
        <v>28764</v>
      </c>
      <c r="K81" s="11"/>
      <c r="L81" s="11"/>
      <c r="M81" s="11">
        <v>0</v>
      </c>
      <c r="N81" s="11">
        <f t="shared" si="1"/>
        <v>131020</v>
      </c>
    </row>
    <row r="82" spans="1:14" ht="23.25">
      <c r="A82" s="51" t="s">
        <v>132</v>
      </c>
      <c r="B82" s="40" t="s">
        <v>133</v>
      </c>
      <c r="C82" s="11">
        <f>'ม.ค.'!M82</f>
        <v>0</v>
      </c>
      <c r="D82" s="11">
        <f>'ม.ค.'!N82</f>
        <v>5000</v>
      </c>
      <c r="E82" s="11"/>
      <c r="F82" s="11"/>
      <c r="G82" s="11"/>
      <c r="H82" s="11"/>
      <c r="I82" s="11"/>
      <c r="J82" s="11"/>
      <c r="K82" s="11"/>
      <c r="L82" s="11"/>
      <c r="M82" s="11">
        <v>0</v>
      </c>
      <c r="N82" s="11">
        <f t="shared" si="1"/>
        <v>5000</v>
      </c>
    </row>
    <row r="83" spans="1:14" ht="23.25">
      <c r="A83" s="51" t="s">
        <v>294</v>
      </c>
      <c r="B83" s="40" t="s">
        <v>90</v>
      </c>
      <c r="C83" s="11">
        <f>'ม.ค.'!M83</f>
        <v>0</v>
      </c>
      <c r="D83" s="11">
        <f>'ม.ค.'!N83</f>
        <v>2743.22</v>
      </c>
      <c r="E83" s="11"/>
      <c r="F83" s="11"/>
      <c r="G83" s="11"/>
      <c r="H83" s="11"/>
      <c r="I83" s="11"/>
      <c r="J83" s="11"/>
      <c r="K83" s="11"/>
      <c r="L83" s="11"/>
      <c r="M83" s="11">
        <v>0</v>
      </c>
      <c r="N83" s="11">
        <f t="shared" si="1"/>
        <v>2743.22</v>
      </c>
    </row>
    <row r="84" spans="1:14" ht="23.25">
      <c r="A84" s="51" t="s">
        <v>295</v>
      </c>
      <c r="B84" s="40" t="s">
        <v>91</v>
      </c>
      <c r="C84" s="11">
        <f>'ม.ค.'!M84</f>
        <v>0</v>
      </c>
      <c r="D84" s="11">
        <f>'ม.ค.'!N84</f>
        <v>3500</v>
      </c>
      <c r="E84" s="11"/>
      <c r="F84" s="11"/>
      <c r="G84" s="11"/>
      <c r="H84" s="11"/>
      <c r="I84" s="11"/>
      <c r="J84" s="11">
        <v>24500</v>
      </c>
      <c r="K84" s="11"/>
      <c r="L84" s="11"/>
      <c r="M84" s="11">
        <v>0</v>
      </c>
      <c r="N84" s="11">
        <f t="shared" si="1"/>
        <v>28000</v>
      </c>
    </row>
    <row r="85" spans="1:14" ht="23.25">
      <c r="A85" s="51" t="s">
        <v>104</v>
      </c>
      <c r="B85" s="40" t="s">
        <v>92</v>
      </c>
      <c r="C85" s="11">
        <f>'ม.ค.'!M85</f>
        <v>0</v>
      </c>
      <c r="D85" s="11">
        <f>'ม.ค.'!N85</f>
        <v>7340</v>
      </c>
      <c r="E85" s="11"/>
      <c r="F85" s="11"/>
      <c r="G85" s="11"/>
      <c r="H85" s="11"/>
      <c r="I85" s="11"/>
      <c r="J85" s="11">
        <v>1550</v>
      </c>
      <c r="K85" s="11"/>
      <c r="L85" s="11"/>
      <c r="M85" s="11">
        <v>0</v>
      </c>
      <c r="N85" s="11">
        <f t="shared" si="1"/>
        <v>8890</v>
      </c>
    </row>
    <row r="86" spans="1:14" ht="23.25">
      <c r="A86" s="51" t="s">
        <v>105</v>
      </c>
      <c r="B86" s="40" t="s">
        <v>93</v>
      </c>
      <c r="C86" s="11">
        <f>'ม.ค.'!M86</f>
        <v>0</v>
      </c>
      <c r="D86" s="11">
        <f>'ม.ค.'!N86</f>
        <v>3450620</v>
      </c>
      <c r="E86" s="39"/>
      <c r="F86" s="39"/>
      <c r="G86" s="39"/>
      <c r="H86" s="39"/>
      <c r="I86" s="39"/>
      <c r="J86" s="39">
        <v>6814351</v>
      </c>
      <c r="K86" s="39"/>
      <c r="L86" s="39"/>
      <c r="M86" s="11">
        <v>0</v>
      </c>
      <c r="N86" s="11">
        <f>SUM(D86+F86+H86+J86+L86)-(C86+E86+G86+I86+K86)</f>
        <v>10264971</v>
      </c>
    </row>
    <row r="87" spans="1:14" ht="23.25">
      <c r="A87" s="1" t="s">
        <v>106</v>
      </c>
      <c r="B87" s="40" t="s">
        <v>133</v>
      </c>
      <c r="C87" s="11">
        <f>'ม.ค.'!M87</f>
        <v>0</v>
      </c>
      <c r="D87" s="11">
        <f>'ม.ค.'!N87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>SUM(D87+F87+H87+J87+L87)-(C87+E87+G87+I87+K87)</f>
        <v>53000</v>
      </c>
    </row>
    <row r="88" spans="1:14" ht="23.25">
      <c r="A88" s="51" t="s">
        <v>140</v>
      </c>
      <c r="B88" s="40" t="s">
        <v>159</v>
      </c>
      <c r="C88" s="11">
        <f>'ม.ค.'!M88</f>
        <v>0</v>
      </c>
      <c r="D88" s="11">
        <f>'ม.ค.'!N88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v>0</v>
      </c>
      <c r="N88" s="11">
        <f>SUM(D88+F88+H88+J88+L88)-(C88+E88+G88+I88+K88)</f>
        <v>0</v>
      </c>
    </row>
    <row r="89" spans="1:14" ht="23.25">
      <c r="A89" s="1" t="s">
        <v>143</v>
      </c>
      <c r="B89" s="53"/>
      <c r="C89" s="11">
        <f>'ม.ค.'!M91</f>
        <v>0</v>
      </c>
      <c r="D89" s="11">
        <f>'ม.ค.'!N91</f>
        <v>0</v>
      </c>
      <c r="E89" s="39"/>
      <c r="F89" s="39"/>
      <c r="G89" s="39"/>
      <c r="H89" s="39"/>
      <c r="I89" s="39"/>
      <c r="J89" s="39"/>
      <c r="K89" s="39"/>
      <c r="L89" s="39"/>
      <c r="M89" s="11">
        <v>0</v>
      </c>
      <c r="N89" s="11">
        <f>SUM(D89+F89+H89+J89+L89)-(C89+E89+G89+I89+K89)</f>
        <v>0</v>
      </c>
    </row>
    <row r="90" spans="1:14" ht="23.25">
      <c r="A90" s="282" t="s">
        <v>307</v>
      </c>
      <c r="B90" s="283" t="s">
        <v>168</v>
      </c>
      <c r="C90" s="256"/>
      <c r="D90" s="256"/>
      <c r="E90" s="39"/>
      <c r="F90" s="39"/>
      <c r="G90" s="39"/>
      <c r="H90" s="39"/>
      <c r="I90" s="39"/>
      <c r="J90" s="39"/>
      <c r="K90" s="39"/>
      <c r="L90" s="39"/>
      <c r="M90" s="256"/>
      <c r="N90" s="256"/>
    </row>
    <row r="91" spans="1:14" ht="23.25">
      <c r="A91" s="285" t="s">
        <v>308</v>
      </c>
      <c r="B91" s="8" t="s">
        <v>168</v>
      </c>
      <c r="C91" s="256"/>
      <c r="D91" s="256"/>
      <c r="E91" s="39"/>
      <c r="F91" s="39"/>
      <c r="G91" s="39"/>
      <c r="H91" s="39"/>
      <c r="I91" s="39"/>
      <c r="J91" s="39"/>
      <c r="K91" s="39"/>
      <c r="L91" s="39"/>
      <c r="M91" s="256"/>
      <c r="N91" s="256"/>
    </row>
    <row r="92" spans="1:14" ht="24" thickBot="1">
      <c r="A92" s="3"/>
      <c r="B92" s="4"/>
      <c r="C92" s="42">
        <f>SUM(C6:C89)</f>
        <v>13582523.930000002</v>
      </c>
      <c r="D92" s="42">
        <f>SUM(D6:D89)</f>
        <v>13582523.930000003</v>
      </c>
      <c r="E92" s="261">
        <f>SUM(E6:E91)</f>
        <v>6930025.1899999995</v>
      </c>
      <c r="F92" s="261">
        <f aca="true" t="shared" si="3" ref="F92:L92">SUM(F6:F91)</f>
        <v>6930025.19</v>
      </c>
      <c r="G92" s="261">
        <f t="shared" si="3"/>
        <v>1721353.4</v>
      </c>
      <c r="H92" s="261">
        <f t="shared" si="3"/>
        <v>1721353.4</v>
      </c>
      <c r="I92" s="261">
        <f t="shared" si="3"/>
        <v>6902605.19</v>
      </c>
      <c r="J92" s="261">
        <f t="shared" si="3"/>
        <v>6902605.19</v>
      </c>
      <c r="K92" s="261">
        <f t="shared" si="3"/>
        <v>1954593.13</v>
      </c>
      <c r="L92" s="261">
        <f t="shared" si="3"/>
        <v>1954593.13</v>
      </c>
      <c r="M92" s="42">
        <f>SUM(M6:M91)</f>
        <v>20145862.6</v>
      </c>
      <c r="N92" s="42">
        <f>SUM(N6:N91)</f>
        <v>20145862.6</v>
      </c>
    </row>
    <row r="93" spans="1:14" ht="24" thickTop="1">
      <c r="A93" s="3"/>
      <c r="B93" s="4"/>
      <c r="C93" s="15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</row>
    <row r="94" spans="1:14" ht="23.25">
      <c r="A94" s="3"/>
      <c r="B94" s="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23.25">
      <c r="A95" s="3"/>
      <c r="B95" s="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23.25">
      <c r="A96" s="3"/>
      <c r="B96" s="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23.25">
      <c r="A97" s="3"/>
      <c r="B97" s="4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23.25">
      <c r="A98" s="3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3.25">
      <c r="A99" s="3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3.25">
      <c r="A100" s="3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3.25">
      <c r="A101" s="3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3.25">
      <c r="A102" s="3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23.25">
      <c r="A103" s="3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3.25">
      <c r="A104" s="3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3.25">
      <c r="A105" s="3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3.25">
      <c r="A106" s="3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</sheetData>
  <sheetProtection/>
  <mergeCells count="9">
    <mergeCell ref="A1:N1"/>
    <mergeCell ref="A2:N2"/>
    <mergeCell ref="K4:L4"/>
    <mergeCell ref="M4:N4"/>
    <mergeCell ref="A4:A5"/>
    <mergeCell ref="C4:D4"/>
    <mergeCell ref="E4:F4"/>
    <mergeCell ref="G4:H4"/>
    <mergeCell ref="I4:J4"/>
  </mergeCells>
  <printOptions/>
  <pageMargins left="0.1968503937007874" right="0" top="0.5905511811023623" bottom="0.3937007874015748" header="0" footer="0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106"/>
  <sheetViews>
    <sheetView zoomScalePageLayoutView="0" workbookViewId="0" topLeftCell="A1">
      <pane xSplit="2" ySplit="5" topLeftCell="L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7" sqref="A87:B91"/>
    </sheetView>
  </sheetViews>
  <sheetFormatPr defaultColWidth="9.140625" defaultRowHeight="12.75"/>
  <cols>
    <col min="1" max="1" width="55.7109375" style="5" customWidth="1"/>
    <col min="2" max="2" width="7.7109375" style="5" customWidth="1"/>
    <col min="3" max="4" width="13.7109375" style="9" customWidth="1"/>
    <col min="5" max="6" width="13.8515625" style="9" customWidth="1"/>
    <col min="7" max="14" width="13.7109375" style="9" customWidth="1"/>
    <col min="15" max="53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270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23.25">
      <c r="A4" s="307" t="s">
        <v>0</v>
      </c>
      <c r="B4" s="30" t="s">
        <v>77</v>
      </c>
      <c r="C4" s="305" t="s">
        <v>285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14" ht="23.25">
      <c r="A6" s="6" t="s">
        <v>51</v>
      </c>
      <c r="B6" s="7" t="s">
        <v>5</v>
      </c>
      <c r="C6" s="32">
        <f>'ก.พ.'!M6</f>
        <v>0</v>
      </c>
      <c r="D6" s="32">
        <f>'ก.พ.'!N6</f>
        <v>0</v>
      </c>
      <c r="E6" s="10"/>
      <c r="F6" s="10"/>
      <c r="G6" s="10"/>
      <c r="H6" s="10"/>
      <c r="I6" s="10"/>
      <c r="J6" s="10"/>
      <c r="K6" s="10"/>
      <c r="L6" s="10"/>
      <c r="M6" s="11">
        <f>SUM(C6+E6+G6+I6+K6)-(D6+F6+H6+J6+L6)</f>
        <v>0</v>
      </c>
      <c r="N6" s="11">
        <v>0</v>
      </c>
    </row>
    <row r="7" spans="1:14" ht="23.25">
      <c r="A7" s="1" t="s">
        <v>116</v>
      </c>
      <c r="B7" s="2" t="s">
        <v>6</v>
      </c>
      <c r="C7" s="11">
        <f>'ก.พ.'!M7</f>
        <v>0</v>
      </c>
      <c r="D7" s="11">
        <f>'ก.พ.'!N7</f>
        <v>0</v>
      </c>
      <c r="E7" s="12">
        <v>3326265.21</v>
      </c>
      <c r="F7" s="12"/>
      <c r="G7" s="12"/>
      <c r="H7" s="12">
        <v>371480</v>
      </c>
      <c r="I7" s="12"/>
      <c r="J7" s="12"/>
      <c r="K7" s="12"/>
      <c r="L7" s="12">
        <v>2954785.21</v>
      </c>
      <c r="M7" s="11">
        <f>SUM(C7+E7+G7+I7+K7)-(D7+F7+H7+J7+L7)</f>
        <v>0</v>
      </c>
      <c r="N7" s="11">
        <v>0</v>
      </c>
    </row>
    <row r="8" spans="1:16" ht="23.25">
      <c r="A8" s="1" t="s">
        <v>130</v>
      </c>
      <c r="B8" s="2" t="s">
        <v>7</v>
      </c>
      <c r="C8" s="11">
        <f>'ก.พ.'!M8</f>
        <v>550508.51</v>
      </c>
      <c r="D8" s="11">
        <f>'ก.พ.'!N8</f>
        <v>0</v>
      </c>
      <c r="E8" s="11">
        <v>20000</v>
      </c>
      <c r="F8" s="11"/>
      <c r="G8" s="11"/>
      <c r="H8" s="11"/>
      <c r="I8" s="11"/>
      <c r="J8" s="11"/>
      <c r="K8" s="11"/>
      <c r="L8" s="11"/>
      <c r="M8" s="11">
        <f aca="true" t="shared" si="0" ref="M8:M68">SUM(C8+E8+G8+I8+K8)-(D8+F8+H8+J8+L8)</f>
        <v>570508.51</v>
      </c>
      <c r="N8" s="11">
        <v>0</v>
      </c>
      <c r="O8" s="52">
        <f>570508.51-M8</f>
        <v>0</v>
      </c>
      <c r="P8" s="52">
        <v>0</v>
      </c>
    </row>
    <row r="9" spans="1:15" ht="23.25">
      <c r="A9" s="1" t="s">
        <v>134</v>
      </c>
      <c r="B9" s="2" t="s">
        <v>7</v>
      </c>
      <c r="C9" s="11">
        <f>'ก.พ.'!M9</f>
        <v>0</v>
      </c>
      <c r="D9" s="11">
        <f>'ก.พ.'!N9</f>
        <v>0</v>
      </c>
      <c r="E9" s="11"/>
      <c r="F9" s="11"/>
      <c r="G9" s="11"/>
      <c r="H9" s="11">
        <v>2208595.26</v>
      </c>
      <c r="I9" s="11"/>
      <c r="J9" s="11"/>
      <c r="K9" s="11">
        <v>2208595.26</v>
      </c>
      <c r="L9" s="11"/>
      <c r="M9" s="11">
        <f t="shared" si="0"/>
        <v>0</v>
      </c>
      <c r="N9" s="11">
        <f aca="true" t="shared" si="1" ref="N9:N72">SUM(D9+F9+H9+J9+L9)-(C9+E9+G9+I9+K9)</f>
        <v>0</v>
      </c>
      <c r="O9" s="52"/>
    </row>
    <row r="10" spans="1:16" ht="23.25">
      <c r="A10" s="1" t="s">
        <v>117</v>
      </c>
      <c r="B10" s="2" t="s">
        <v>8</v>
      </c>
      <c r="C10" s="11">
        <f>'ก.พ.'!M10</f>
        <v>11300346.66</v>
      </c>
      <c r="D10" s="11">
        <f>'ก.พ.'!N10</f>
        <v>0</v>
      </c>
      <c r="E10" s="11">
        <v>127463.69</v>
      </c>
      <c r="F10" s="11"/>
      <c r="G10" s="11"/>
      <c r="H10" s="11"/>
      <c r="I10" s="11"/>
      <c r="J10" s="11"/>
      <c r="K10" s="11">
        <v>2954785.21</v>
      </c>
      <c r="L10" s="11">
        <v>2208595.26</v>
      </c>
      <c r="M10" s="11">
        <f t="shared" si="0"/>
        <v>12174000.299999999</v>
      </c>
      <c r="N10" s="11">
        <v>0</v>
      </c>
      <c r="O10" s="52">
        <f>13054814.63-M10</f>
        <v>880814.3300000019</v>
      </c>
      <c r="P10" s="52"/>
    </row>
    <row r="11" spans="1:16" ht="23.25">
      <c r="A11" s="1" t="s">
        <v>128</v>
      </c>
      <c r="B11" s="2" t="s">
        <v>8</v>
      </c>
      <c r="C11" s="11">
        <f>'ก.พ.'!M11</f>
        <v>938028.85</v>
      </c>
      <c r="D11" s="11">
        <f>'ก.พ.'!N11</f>
        <v>0</v>
      </c>
      <c r="E11" s="11">
        <v>126367.92</v>
      </c>
      <c r="F11" s="11"/>
      <c r="G11" s="11"/>
      <c r="H11" s="11"/>
      <c r="I11" s="11"/>
      <c r="J11" s="11"/>
      <c r="K11" s="11"/>
      <c r="L11" s="11"/>
      <c r="M11" s="11">
        <f t="shared" si="0"/>
        <v>1064396.77</v>
      </c>
      <c r="N11" s="11">
        <v>0</v>
      </c>
      <c r="O11" s="52">
        <f>1064396.77-M11</f>
        <v>0</v>
      </c>
      <c r="P11" s="52"/>
    </row>
    <row r="12" spans="1:15" ht="23.25">
      <c r="A12" s="1" t="s">
        <v>131</v>
      </c>
      <c r="B12" s="2" t="s">
        <v>8</v>
      </c>
      <c r="C12" s="11">
        <f>'ก.พ.'!M12</f>
        <v>1619.03</v>
      </c>
      <c r="D12" s="11">
        <f>'ก.พ.'!N12</f>
        <v>0</v>
      </c>
      <c r="E12" s="11">
        <v>2.42</v>
      </c>
      <c r="F12" s="11"/>
      <c r="G12" s="11"/>
      <c r="H12" s="11"/>
      <c r="I12" s="11"/>
      <c r="J12" s="11"/>
      <c r="K12" s="11"/>
      <c r="L12" s="11"/>
      <c r="M12" s="11">
        <f t="shared" si="0"/>
        <v>1621.45</v>
      </c>
      <c r="N12" s="11">
        <v>0</v>
      </c>
      <c r="O12" s="52">
        <f>1621.45-M12</f>
        <v>0</v>
      </c>
    </row>
    <row r="13" spans="1:16" ht="23.25">
      <c r="A13" s="1" t="s">
        <v>39</v>
      </c>
      <c r="B13" s="2" t="s">
        <v>40</v>
      </c>
      <c r="C13" s="11">
        <f>'ก.พ.'!M13</f>
        <v>48845</v>
      </c>
      <c r="D13" s="11">
        <f>'ก.พ.'!N13</f>
        <v>0</v>
      </c>
      <c r="E13" s="11"/>
      <c r="F13" s="11"/>
      <c r="G13" s="11">
        <v>175770</v>
      </c>
      <c r="H13" s="11"/>
      <c r="I13" s="11"/>
      <c r="J13" s="11"/>
      <c r="K13" s="11"/>
      <c r="L13" s="11">
        <v>168320</v>
      </c>
      <c r="M13" s="11">
        <f t="shared" si="0"/>
        <v>56295</v>
      </c>
      <c r="N13" s="11">
        <v>0</v>
      </c>
      <c r="O13" s="52"/>
      <c r="P13" s="279">
        <v>30000</v>
      </c>
    </row>
    <row r="14" spans="1:16" ht="23.25">
      <c r="A14" s="1" t="s">
        <v>110</v>
      </c>
      <c r="B14" s="2" t="s">
        <v>111</v>
      </c>
      <c r="C14" s="11">
        <f>'ก.พ.'!M14</f>
        <v>0</v>
      </c>
      <c r="D14" s="11">
        <f>'ก.พ.'!N14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f t="shared" si="1"/>
        <v>0</v>
      </c>
      <c r="P14" s="279">
        <f>2000+295+500</f>
        <v>2795</v>
      </c>
    </row>
    <row r="15" spans="1:16" ht="23.25">
      <c r="A15" s="1" t="s">
        <v>52</v>
      </c>
      <c r="B15" s="2" t="s">
        <v>9</v>
      </c>
      <c r="C15" s="11">
        <f>'ก.พ.'!M15</f>
        <v>150715</v>
      </c>
      <c r="D15" s="11">
        <f>'ก.พ.'!N15</f>
        <v>0</v>
      </c>
      <c r="E15" s="11"/>
      <c r="F15" s="11"/>
      <c r="G15" s="11">
        <v>144480</v>
      </c>
      <c r="H15" s="11"/>
      <c r="I15" s="11"/>
      <c r="J15" s="11"/>
      <c r="K15" s="11"/>
      <c r="L15" s="11"/>
      <c r="M15" s="11">
        <f t="shared" si="0"/>
        <v>295195</v>
      </c>
      <c r="N15" s="11">
        <v>0</v>
      </c>
      <c r="P15" s="278">
        <v>23500</v>
      </c>
    </row>
    <row r="16" spans="1:16" ht="23.25">
      <c r="A16" s="6" t="s">
        <v>10</v>
      </c>
      <c r="B16" s="7" t="s">
        <v>11</v>
      </c>
      <c r="C16" s="11">
        <f>'ก.พ.'!M16</f>
        <v>1239315</v>
      </c>
      <c r="D16" s="11">
        <f>'ก.พ.'!N16</f>
        <v>0</v>
      </c>
      <c r="E16" s="11"/>
      <c r="F16" s="11"/>
      <c r="G16" s="11">
        <v>222800</v>
      </c>
      <c r="H16" s="11"/>
      <c r="I16" s="11"/>
      <c r="J16" s="11"/>
      <c r="K16" s="11"/>
      <c r="L16" s="11"/>
      <c r="M16" s="11">
        <f t="shared" si="0"/>
        <v>1462115</v>
      </c>
      <c r="N16" s="11">
        <v>0</v>
      </c>
      <c r="P16" s="279"/>
    </row>
    <row r="17" spans="1:16" ht="23.25">
      <c r="A17" s="1" t="s">
        <v>12</v>
      </c>
      <c r="B17" s="2" t="s">
        <v>13</v>
      </c>
      <c r="C17" s="11">
        <f>'ก.พ.'!M17</f>
        <v>0</v>
      </c>
      <c r="D17" s="11">
        <f>'ก.พ.'!N17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f t="shared" si="1"/>
        <v>0</v>
      </c>
      <c r="P17" s="279">
        <f>SUM(P13:P16)</f>
        <v>56295</v>
      </c>
    </row>
    <row r="18" spans="1:14" ht="23.25">
      <c r="A18" s="1" t="s">
        <v>14</v>
      </c>
      <c r="B18" s="2" t="s">
        <v>15</v>
      </c>
      <c r="C18" s="11">
        <f>'ก.พ.'!M18</f>
        <v>574140</v>
      </c>
      <c r="D18" s="11">
        <f>'ก.พ.'!N18</f>
        <v>0</v>
      </c>
      <c r="E18" s="11"/>
      <c r="F18" s="11"/>
      <c r="G18" s="11">
        <v>135740</v>
      </c>
      <c r="H18" s="11"/>
      <c r="I18" s="11"/>
      <c r="J18" s="11"/>
      <c r="K18" s="11"/>
      <c r="L18" s="11"/>
      <c r="M18" s="11">
        <f t="shared" si="0"/>
        <v>709880</v>
      </c>
      <c r="N18" s="11">
        <v>0</v>
      </c>
    </row>
    <row r="19" spans="1:14" ht="23.25">
      <c r="A19" s="1" t="s">
        <v>16</v>
      </c>
      <c r="B19" s="2" t="s">
        <v>17</v>
      </c>
      <c r="C19" s="11">
        <f>'ก.พ.'!M19</f>
        <v>1420908</v>
      </c>
      <c r="D19" s="11">
        <f>'ก.พ.'!N19</f>
        <v>0</v>
      </c>
      <c r="E19" s="11"/>
      <c r="F19" s="11"/>
      <c r="G19" s="11">
        <v>269866</v>
      </c>
      <c r="H19" s="11"/>
      <c r="I19" s="11"/>
      <c r="J19" s="11"/>
      <c r="K19" s="11"/>
      <c r="L19" s="11"/>
      <c r="M19" s="11">
        <f t="shared" si="0"/>
        <v>1690774</v>
      </c>
      <c r="N19" s="11">
        <v>0</v>
      </c>
    </row>
    <row r="20" spans="1:14" ht="23.25">
      <c r="A20" s="1" t="s">
        <v>18</v>
      </c>
      <c r="B20" s="2" t="s">
        <v>19</v>
      </c>
      <c r="C20" s="11">
        <f>'ก.พ.'!M20</f>
        <v>1427472.36</v>
      </c>
      <c r="D20" s="11">
        <f>'ก.พ.'!N20</f>
        <v>0</v>
      </c>
      <c r="E20" s="11"/>
      <c r="F20" s="11"/>
      <c r="G20" s="11">
        <v>120961.67</v>
      </c>
      <c r="H20" s="11"/>
      <c r="I20" s="11"/>
      <c r="J20" s="11"/>
      <c r="K20" s="11">
        <v>168320</v>
      </c>
      <c r="L20" s="11"/>
      <c r="M20" s="11">
        <f t="shared" si="0"/>
        <v>1716754.03</v>
      </c>
      <c r="N20" s="11">
        <v>0</v>
      </c>
    </row>
    <row r="21" spans="1:14" ht="23.25">
      <c r="A21" s="1" t="s">
        <v>20</v>
      </c>
      <c r="B21" s="2" t="s">
        <v>21</v>
      </c>
      <c r="C21" s="11">
        <f>'ก.พ.'!M21</f>
        <v>174489.05</v>
      </c>
      <c r="D21" s="11">
        <f>'ก.พ.'!N21</f>
        <v>0</v>
      </c>
      <c r="E21" s="12"/>
      <c r="F21" s="12"/>
      <c r="G21" s="12">
        <v>826919.4</v>
      </c>
      <c r="H21" s="12"/>
      <c r="I21" s="12"/>
      <c r="J21" s="12"/>
      <c r="K21" s="12"/>
      <c r="L21" s="12"/>
      <c r="M21" s="11">
        <f t="shared" si="0"/>
        <v>1001408.45</v>
      </c>
      <c r="N21" s="11">
        <v>0</v>
      </c>
    </row>
    <row r="22" spans="1:14" ht="23.25">
      <c r="A22" s="1" t="s">
        <v>22</v>
      </c>
      <c r="B22" s="2" t="s">
        <v>23</v>
      </c>
      <c r="C22" s="11">
        <f>'ก.พ.'!M22</f>
        <v>44086.14</v>
      </c>
      <c r="D22" s="11">
        <f>'ก.พ.'!N22</f>
        <v>0</v>
      </c>
      <c r="E22" s="11"/>
      <c r="F22" s="11"/>
      <c r="G22" s="11">
        <v>24010.14</v>
      </c>
      <c r="H22" s="11"/>
      <c r="I22" s="11"/>
      <c r="J22" s="11"/>
      <c r="K22" s="11"/>
      <c r="L22" s="11"/>
      <c r="M22" s="11">
        <f t="shared" si="0"/>
        <v>68096.28</v>
      </c>
      <c r="N22" s="11">
        <v>0</v>
      </c>
    </row>
    <row r="23" spans="1:14" ht="23.25">
      <c r="A23" s="1" t="s">
        <v>24</v>
      </c>
      <c r="B23" s="2" t="s">
        <v>25</v>
      </c>
      <c r="C23" s="11">
        <f>'ก.พ.'!M23</f>
        <v>2187000</v>
      </c>
      <c r="D23" s="11">
        <f>'ก.พ.'!N23</f>
        <v>0</v>
      </c>
      <c r="E23" s="11"/>
      <c r="F23" s="11"/>
      <c r="G23" s="11">
        <v>300000</v>
      </c>
      <c r="H23" s="11"/>
      <c r="I23" s="11"/>
      <c r="J23" s="11"/>
      <c r="K23" s="11"/>
      <c r="L23" s="11"/>
      <c r="M23" s="11">
        <f t="shared" si="0"/>
        <v>2487000</v>
      </c>
      <c r="N23" s="11">
        <v>0</v>
      </c>
    </row>
    <row r="24" spans="1:14" ht="23.25">
      <c r="A24" s="1" t="s">
        <v>26</v>
      </c>
      <c r="B24" s="2" t="s">
        <v>27</v>
      </c>
      <c r="C24" s="11">
        <f>'ก.พ.'!M24</f>
        <v>0</v>
      </c>
      <c r="D24" s="11">
        <f>'ก.พ.'!N24</f>
        <v>0</v>
      </c>
      <c r="E24" s="11"/>
      <c r="F24" s="11"/>
      <c r="G24" s="11">
        <v>4536</v>
      </c>
      <c r="H24" s="11"/>
      <c r="I24" s="11"/>
      <c r="J24" s="11"/>
      <c r="K24" s="11"/>
      <c r="L24" s="11"/>
      <c r="M24" s="11">
        <f t="shared" si="0"/>
        <v>4536</v>
      </c>
      <c r="N24" s="11">
        <v>0</v>
      </c>
    </row>
    <row r="25" spans="1:14" ht="23.25">
      <c r="A25" s="1" t="s">
        <v>28</v>
      </c>
      <c r="B25" s="2" t="s">
        <v>29</v>
      </c>
      <c r="C25" s="11">
        <f>'ก.พ.'!M25</f>
        <v>0</v>
      </c>
      <c r="D25" s="11">
        <f>'ก.พ.'!N25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0</v>
      </c>
      <c r="N25" s="11">
        <f t="shared" si="1"/>
        <v>0</v>
      </c>
    </row>
    <row r="26" spans="1:14" ht="23.25">
      <c r="A26" s="1" t="s">
        <v>113</v>
      </c>
      <c r="B26" s="2" t="s">
        <v>114</v>
      </c>
      <c r="C26" s="11">
        <f>'ก.พ.'!M26</f>
        <v>0</v>
      </c>
      <c r="D26" s="11">
        <f>'ก.พ.'!N26</f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0</v>
      </c>
      <c r="N26" s="11">
        <f t="shared" si="1"/>
        <v>0</v>
      </c>
    </row>
    <row r="27" spans="1:14" ht="23.25">
      <c r="A27" s="1" t="s">
        <v>41</v>
      </c>
      <c r="B27" s="2" t="s">
        <v>42</v>
      </c>
      <c r="C27" s="11">
        <f>'ก.พ.'!M27</f>
        <v>0</v>
      </c>
      <c r="D27" s="11">
        <f>'ก.พ.'!N27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f t="shared" si="0"/>
        <v>0</v>
      </c>
      <c r="N27" s="11">
        <f t="shared" si="1"/>
        <v>0</v>
      </c>
    </row>
    <row r="28" spans="1:14" ht="23.25">
      <c r="A28" s="1" t="s">
        <v>44</v>
      </c>
      <c r="B28" s="2" t="s">
        <v>30</v>
      </c>
      <c r="C28" s="11">
        <f>'ก.พ.'!M28</f>
        <v>0</v>
      </c>
      <c r="D28" s="11">
        <f>'ก.พ.'!N28</f>
        <v>2875247.9099999997</v>
      </c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1">
        <f t="shared" si="1"/>
        <v>2875247.9099999997</v>
      </c>
    </row>
    <row r="29" spans="1:14" ht="23.25">
      <c r="A29" s="1" t="s">
        <v>45</v>
      </c>
      <c r="B29" s="2" t="s">
        <v>43</v>
      </c>
      <c r="C29" s="11">
        <f>'ก.พ.'!M29</f>
        <v>0</v>
      </c>
      <c r="D29" s="11">
        <f>'ก.พ.'!N29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53</v>
      </c>
      <c r="B30" s="2" t="s">
        <v>31</v>
      </c>
      <c r="C30" s="11">
        <f>'ก.พ.'!M30</f>
        <v>0</v>
      </c>
      <c r="D30" s="11">
        <f>'ก.พ.'!N30</f>
        <v>0</v>
      </c>
      <c r="E30" s="11"/>
      <c r="F30" s="11"/>
      <c r="G30" s="11"/>
      <c r="H30" s="11"/>
      <c r="I30" s="11"/>
      <c r="J30" s="11"/>
      <c r="K30" s="11"/>
      <c r="L30" s="11"/>
      <c r="M30" s="11">
        <f t="shared" si="0"/>
        <v>0</v>
      </c>
      <c r="N30" s="11">
        <f t="shared" si="1"/>
        <v>0</v>
      </c>
    </row>
    <row r="31" spans="1:14" ht="23.25">
      <c r="A31" s="1" t="s">
        <v>32</v>
      </c>
      <c r="B31" s="2" t="s">
        <v>33</v>
      </c>
      <c r="C31" s="11">
        <f>'ก.พ.'!M30</f>
        <v>0</v>
      </c>
      <c r="D31" s="11">
        <f>'ก.พ.'!N30</f>
        <v>0</v>
      </c>
      <c r="E31" s="11"/>
      <c r="F31" s="11">
        <v>2061846.98</v>
      </c>
      <c r="G31" s="11"/>
      <c r="H31" s="11"/>
      <c r="I31" s="11">
        <v>2061846.98</v>
      </c>
      <c r="J31" s="11"/>
      <c r="K31" s="11"/>
      <c r="L31" s="11"/>
      <c r="M31" s="11">
        <v>0</v>
      </c>
      <c r="N31" s="11">
        <f t="shared" si="1"/>
        <v>0</v>
      </c>
    </row>
    <row r="32" spans="1:14" ht="23.25">
      <c r="A32" s="1" t="s">
        <v>35</v>
      </c>
      <c r="B32" s="2" t="s">
        <v>46</v>
      </c>
      <c r="C32" s="11">
        <f>'ก.พ.'!M31</f>
        <v>0</v>
      </c>
      <c r="D32" s="11">
        <f>'ก.พ.'!N31</f>
        <v>0</v>
      </c>
      <c r="E32" s="11"/>
      <c r="F32" s="11"/>
      <c r="G32" s="11"/>
      <c r="H32" s="11"/>
      <c r="I32" s="11"/>
      <c r="J32" s="11"/>
      <c r="K32" s="11"/>
      <c r="L32" s="11"/>
      <c r="M32" s="11">
        <f t="shared" si="0"/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'ก.พ.'!M33</f>
        <v>0</v>
      </c>
      <c r="D33" s="11">
        <f>'ก.พ.'!N33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f t="shared" si="0"/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'ก.พ.'!M34</f>
        <v>0</v>
      </c>
      <c r="D34" s="11">
        <f>'ก.พ.'!N34</f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>
        <f t="shared" si="1"/>
        <v>0</v>
      </c>
    </row>
    <row r="35" spans="1:14" ht="23.25">
      <c r="A35" s="1" t="s">
        <v>48</v>
      </c>
      <c r="B35" s="2">
        <v>902</v>
      </c>
      <c r="C35" s="11">
        <f>'ก.พ.'!M35</f>
        <v>0</v>
      </c>
      <c r="D35" s="11">
        <f>'ก.พ.'!N35</f>
        <v>2300.2700000000004</v>
      </c>
      <c r="E35" s="11"/>
      <c r="F35" s="11"/>
      <c r="G35" s="11">
        <v>2300.27</v>
      </c>
      <c r="H35" s="11">
        <v>9198.22</v>
      </c>
      <c r="I35" s="11"/>
      <c r="J35" s="11"/>
      <c r="K35" s="11"/>
      <c r="L35" s="11"/>
      <c r="M35" s="11">
        <v>0</v>
      </c>
      <c r="N35" s="11">
        <f t="shared" si="1"/>
        <v>9198.22</v>
      </c>
    </row>
    <row r="36" spans="1:14" ht="23.25">
      <c r="A36" s="6" t="s">
        <v>72</v>
      </c>
      <c r="B36" s="7">
        <v>903</v>
      </c>
      <c r="C36" s="11">
        <f>'ก.พ.'!M36</f>
        <v>0</v>
      </c>
      <c r="D36" s="11">
        <f>'ก.พ.'!N36</f>
        <v>454301.5</v>
      </c>
      <c r="E36" s="11"/>
      <c r="F36" s="11">
        <v>5750</v>
      </c>
      <c r="G36" s="11"/>
      <c r="H36" s="11"/>
      <c r="I36" s="11"/>
      <c r="J36" s="11"/>
      <c r="K36" s="11"/>
      <c r="L36" s="11"/>
      <c r="M36" s="11">
        <v>0</v>
      </c>
      <c r="N36" s="11">
        <f t="shared" si="1"/>
        <v>460051.5</v>
      </c>
    </row>
    <row r="37" spans="1:14" ht="23.25">
      <c r="A37" s="1" t="s">
        <v>73</v>
      </c>
      <c r="B37" s="2">
        <v>904</v>
      </c>
      <c r="C37" s="11">
        <f>'ก.พ.'!M37</f>
        <v>1690</v>
      </c>
      <c r="D37" s="11">
        <f>'ก.พ.'!N37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1690</v>
      </c>
      <c r="N37" s="11">
        <v>0</v>
      </c>
    </row>
    <row r="38" spans="1:14" ht="23.25">
      <c r="A38" s="1" t="s">
        <v>74</v>
      </c>
      <c r="B38" s="2" t="s">
        <v>49</v>
      </c>
      <c r="C38" s="11">
        <f>'ก.พ.'!M38</f>
        <v>0</v>
      </c>
      <c r="D38" s="11">
        <f>'ก.พ.'!N38</f>
        <v>0</v>
      </c>
      <c r="E38" s="11"/>
      <c r="F38" s="11">
        <v>2484.7</v>
      </c>
      <c r="G38" s="11"/>
      <c r="H38" s="11"/>
      <c r="I38" s="11"/>
      <c r="J38" s="11"/>
      <c r="K38" s="11"/>
      <c r="L38" s="11"/>
      <c r="M38" s="11">
        <v>0</v>
      </c>
      <c r="N38" s="11">
        <f t="shared" si="1"/>
        <v>2484.7</v>
      </c>
    </row>
    <row r="39" spans="1:14" ht="23.25">
      <c r="A39" s="1" t="s">
        <v>75</v>
      </c>
      <c r="B39" s="2" t="s">
        <v>50</v>
      </c>
      <c r="C39" s="11">
        <f>'ก.พ.'!M39</f>
        <v>0</v>
      </c>
      <c r="D39" s="11">
        <f>'ก.พ.'!N39</f>
        <v>0</v>
      </c>
      <c r="E39" s="11"/>
      <c r="F39" s="11">
        <v>2981.64</v>
      </c>
      <c r="G39" s="11"/>
      <c r="H39" s="11"/>
      <c r="I39" s="11"/>
      <c r="J39" s="11"/>
      <c r="K39" s="11"/>
      <c r="L39" s="11"/>
      <c r="M39" s="11">
        <v>0</v>
      </c>
      <c r="N39" s="11">
        <f t="shared" si="1"/>
        <v>2981.64</v>
      </c>
    </row>
    <row r="40" spans="1:14" ht="23.25">
      <c r="A40" s="1" t="s">
        <v>54</v>
      </c>
      <c r="B40" s="2">
        <v>900</v>
      </c>
      <c r="C40" s="11">
        <f>'ก.พ.'!M40</f>
        <v>0</v>
      </c>
      <c r="D40" s="11">
        <f>'ก.พ.'!N40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'ก.พ.'!M41</f>
        <v>0</v>
      </c>
      <c r="D41" s="11">
        <f>'ก.พ.'!N41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f t="shared" si="0"/>
        <v>0</v>
      </c>
      <c r="N41" s="11">
        <f t="shared" si="1"/>
        <v>0</v>
      </c>
    </row>
    <row r="42" spans="1:14" ht="23.25">
      <c r="A42" s="1" t="s">
        <v>56</v>
      </c>
      <c r="B42" s="2">
        <v>900</v>
      </c>
      <c r="C42" s="11">
        <f>'ก.พ.'!M42</f>
        <v>0</v>
      </c>
      <c r="D42" s="11">
        <f>'ก.พ.'!N42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'ก.พ.'!M43</f>
        <v>0</v>
      </c>
      <c r="D43" s="11">
        <f>'ก.พ.'!N43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'ก.พ.'!M44</f>
        <v>67560</v>
      </c>
      <c r="D44" s="11">
        <f>'ก.พ.'!N44</f>
        <v>0</v>
      </c>
      <c r="E44" s="11"/>
      <c r="F44" s="11"/>
      <c r="G44" s="11">
        <v>33780</v>
      </c>
      <c r="H44" s="11"/>
      <c r="I44" s="11"/>
      <c r="J44" s="11"/>
      <c r="K44" s="11"/>
      <c r="L44" s="11"/>
      <c r="M44" s="11">
        <f t="shared" si="0"/>
        <v>101340</v>
      </c>
      <c r="N44" s="11">
        <v>0</v>
      </c>
    </row>
    <row r="45" spans="1:14" ht="23.25">
      <c r="A45" s="6" t="s">
        <v>58</v>
      </c>
      <c r="B45" s="2">
        <v>900</v>
      </c>
      <c r="C45" s="11">
        <f>'ก.พ.'!M45</f>
        <v>16920</v>
      </c>
      <c r="D45" s="11">
        <f>'ก.พ.'!N45</f>
        <v>0</v>
      </c>
      <c r="E45" s="11"/>
      <c r="F45" s="11"/>
      <c r="G45" s="11">
        <v>8460</v>
      </c>
      <c r="H45" s="11"/>
      <c r="I45" s="11"/>
      <c r="J45" s="11"/>
      <c r="K45" s="11"/>
      <c r="L45" s="11"/>
      <c r="M45" s="11">
        <f t="shared" si="0"/>
        <v>25380</v>
      </c>
      <c r="N45" s="11">
        <v>0</v>
      </c>
    </row>
    <row r="46" spans="1:14" ht="23.25">
      <c r="A46" s="1" t="s">
        <v>158</v>
      </c>
      <c r="B46" s="2">
        <v>900</v>
      </c>
      <c r="C46" s="11">
        <f>'ก.พ.'!M46</f>
        <v>2219</v>
      </c>
      <c r="D46" s="11">
        <f>'ก.พ.'!N46</f>
        <v>0</v>
      </c>
      <c r="E46" s="11"/>
      <c r="F46" s="11"/>
      <c r="G46" s="11">
        <v>2150</v>
      </c>
      <c r="H46" s="11"/>
      <c r="I46" s="11"/>
      <c r="J46" s="11"/>
      <c r="K46" s="11"/>
      <c r="L46" s="11"/>
      <c r="M46" s="11">
        <f t="shared" si="0"/>
        <v>4369</v>
      </c>
      <c r="N46" s="11">
        <v>0</v>
      </c>
    </row>
    <row r="47" spans="1:14" ht="23.25">
      <c r="A47" s="1" t="s">
        <v>166</v>
      </c>
      <c r="B47" s="2">
        <v>900</v>
      </c>
      <c r="C47" s="11">
        <f>'ก.พ.'!M47</f>
        <v>0</v>
      </c>
      <c r="D47" s="11">
        <f>'ก.พ.'!N47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'ก.พ.'!M48</f>
        <v>0</v>
      </c>
      <c r="D48" s="11">
        <f>'ก.พ.'!N48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f t="shared" si="0"/>
        <v>0</v>
      </c>
      <c r="N48" s="11">
        <f t="shared" si="1"/>
        <v>0</v>
      </c>
    </row>
    <row r="49" spans="1:15" ht="23.25">
      <c r="A49" s="1" t="s">
        <v>61</v>
      </c>
      <c r="B49" s="2" t="s">
        <v>34</v>
      </c>
      <c r="C49" s="11">
        <f>'ก.พ.'!M49</f>
        <v>0</v>
      </c>
      <c r="D49" s="11">
        <f>'ก.พ.'!N49</f>
        <v>924854</v>
      </c>
      <c r="E49" s="11"/>
      <c r="F49" s="11">
        <v>125000</v>
      </c>
      <c r="G49" s="11"/>
      <c r="H49" s="11"/>
      <c r="I49" s="11"/>
      <c r="J49" s="11"/>
      <c r="K49" s="11"/>
      <c r="L49" s="11"/>
      <c r="M49" s="11">
        <v>0</v>
      </c>
      <c r="N49" s="11">
        <f t="shared" si="1"/>
        <v>1049854</v>
      </c>
      <c r="O49" s="52">
        <f>1064396.77-N49-N50</f>
        <v>1.8189894035458565E-11</v>
      </c>
    </row>
    <row r="50" spans="1:14" ht="23.25">
      <c r="A50" s="1" t="s">
        <v>62</v>
      </c>
      <c r="B50" s="2" t="s">
        <v>34</v>
      </c>
      <c r="C50" s="11">
        <f>'ก.พ.'!M50</f>
        <v>0</v>
      </c>
      <c r="D50" s="11">
        <f>'ก.พ.'!N50</f>
        <v>13174.85</v>
      </c>
      <c r="E50" s="11"/>
      <c r="F50" s="11">
        <v>1367.92</v>
      </c>
      <c r="G50" s="11"/>
      <c r="H50" s="11"/>
      <c r="I50" s="11"/>
      <c r="J50" s="11"/>
      <c r="K50" s="11"/>
      <c r="L50" s="11"/>
      <c r="M50" s="11">
        <v>0</v>
      </c>
      <c r="N50" s="11">
        <f t="shared" si="1"/>
        <v>14542.77</v>
      </c>
    </row>
    <row r="51" spans="1:14" ht="23.25">
      <c r="A51" s="1" t="s">
        <v>144</v>
      </c>
      <c r="B51" s="2">
        <v>900</v>
      </c>
      <c r="C51" s="11">
        <f>'ก.พ.'!M51</f>
        <v>0</v>
      </c>
      <c r="D51" s="11">
        <f>'ก.พ.'!N51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f t="shared" si="0"/>
        <v>0</v>
      </c>
      <c r="N51" s="11">
        <f t="shared" si="1"/>
        <v>0</v>
      </c>
    </row>
    <row r="52" spans="1:14" ht="23.25">
      <c r="A52" s="1" t="s">
        <v>64</v>
      </c>
      <c r="B52" s="2">
        <v>900</v>
      </c>
      <c r="C52" s="11">
        <f>'ก.พ.'!M52</f>
        <v>0</v>
      </c>
      <c r="D52" s="11">
        <f>'ก.พ.'!N52</f>
        <v>2000</v>
      </c>
      <c r="E52" s="11"/>
      <c r="F52" s="11">
        <v>1500</v>
      </c>
      <c r="G52" s="11"/>
      <c r="H52" s="11"/>
      <c r="I52" s="11"/>
      <c r="J52" s="11"/>
      <c r="K52" s="11"/>
      <c r="L52" s="11"/>
      <c r="M52" s="11">
        <v>0</v>
      </c>
      <c r="N52" s="11">
        <f t="shared" si="1"/>
        <v>3500</v>
      </c>
    </row>
    <row r="53" spans="1:14" ht="23.25">
      <c r="A53" s="1" t="s">
        <v>65</v>
      </c>
      <c r="B53" s="2">
        <v>900</v>
      </c>
      <c r="C53" s="11">
        <f>'ก.พ.'!M53</f>
        <v>0</v>
      </c>
      <c r="D53" s="11">
        <f>'ก.พ.'!N53</f>
        <v>500</v>
      </c>
      <c r="E53" s="11"/>
      <c r="F53" s="11">
        <v>500</v>
      </c>
      <c r="G53" s="11"/>
      <c r="H53" s="11"/>
      <c r="I53" s="11"/>
      <c r="J53" s="11"/>
      <c r="K53" s="11"/>
      <c r="L53" s="11"/>
      <c r="M53" s="11">
        <v>0</v>
      </c>
      <c r="N53" s="11">
        <f t="shared" si="1"/>
        <v>1000</v>
      </c>
    </row>
    <row r="54" spans="1:14" ht="23.25">
      <c r="A54" s="1" t="s">
        <v>66</v>
      </c>
      <c r="B54" s="2">
        <v>900</v>
      </c>
      <c r="C54" s="11">
        <f>'ก.พ.'!M54</f>
        <v>0</v>
      </c>
      <c r="D54" s="11">
        <f>'ก.พ.'!N54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f t="shared" si="0"/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f>'ก.พ.'!M55</f>
        <v>0</v>
      </c>
      <c r="D55" s="11">
        <f>'ก.พ.'!N55</f>
        <v>0</v>
      </c>
      <c r="E55" s="11"/>
      <c r="F55" s="11">
        <v>20000</v>
      </c>
      <c r="G55" s="11"/>
      <c r="H55" s="11"/>
      <c r="I55" s="11"/>
      <c r="J55" s="11"/>
      <c r="K55" s="11"/>
      <c r="L55" s="11"/>
      <c r="M55" s="11">
        <v>0</v>
      </c>
      <c r="N55" s="11">
        <f t="shared" si="1"/>
        <v>20000</v>
      </c>
    </row>
    <row r="56" spans="1:14" ht="23.25">
      <c r="A56" s="1" t="s">
        <v>142</v>
      </c>
      <c r="B56" s="2" t="s">
        <v>34</v>
      </c>
      <c r="C56" s="11">
        <f>'ก.พ.'!M56</f>
        <v>0</v>
      </c>
      <c r="D56" s="11">
        <f>'ก.พ.'!N56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f t="shared" si="0"/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'ก.พ.'!M57</f>
        <v>0</v>
      </c>
      <c r="D57" s="11">
        <f>'ก.พ.'!N57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292</v>
      </c>
      <c r="B58" s="2" t="s">
        <v>34</v>
      </c>
      <c r="C58" s="11">
        <f>'ก.พ.'!M58</f>
        <v>0</v>
      </c>
      <c r="D58" s="11">
        <f>'ก.พ.'!N58</f>
        <v>295</v>
      </c>
      <c r="E58" s="12"/>
      <c r="F58" s="12"/>
      <c r="G58" s="12"/>
      <c r="H58" s="12"/>
      <c r="I58" s="12"/>
      <c r="J58" s="12"/>
      <c r="K58" s="12"/>
      <c r="L58" s="12"/>
      <c r="M58" s="11">
        <v>0</v>
      </c>
      <c r="N58" s="11">
        <f t="shared" si="1"/>
        <v>295</v>
      </c>
    </row>
    <row r="59" spans="1:14" ht="23.25">
      <c r="A59" s="1" t="s">
        <v>70</v>
      </c>
      <c r="B59" s="2" t="s">
        <v>34</v>
      </c>
      <c r="C59" s="11">
        <f>'ก.พ.'!M59</f>
        <v>0</v>
      </c>
      <c r="D59" s="11">
        <f>'ก.พ.'!N59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f t="shared" si="0"/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'ก.พ.'!M60</f>
        <v>0</v>
      </c>
      <c r="D60" s="11">
        <f>'ก.พ.'!N60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f t="shared" si="0"/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f>'ก.พ.'!M61</f>
        <v>0</v>
      </c>
      <c r="D61" s="11">
        <f>'ก.พ.'!N61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'ก.พ.'!M62</f>
        <v>0</v>
      </c>
      <c r="D62" s="11">
        <f>'ก.พ.'!N62</f>
        <v>0</v>
      </c>
      <c r="E62" s="11"/>
      <c r="F62" s="11"/>
      <c r="G62" s="11"/>
      <c r="H62" s="11"/>
      <c r="I62" s="11"/>
      <c r="J62" s="11"/>
      <c r="K62" s="11"/>
      <c r="L62" s="11"/>
      <c r="M62" s="11">
        <f t="shared" si="0"/>
        <v>0</v>
      </c>
      <c r="N62" s="11">
        <f t="shared" si="1"/>
        <v>0</v>
      </c>
    </row>
    <row r="63" spans="1:14" ht="23.25">
      <c r="A63" s="1" t="s">
        <v>278</v>
      </c>
      <c r="B63" s="2" t="s">
        <v>167</v>
      </c>
      <c r="C63" s="11">
        <f>'ก.พ.'!M63</f>
        <v>0</v>
      </c>
      <c r="D63" s="11">
        <f>'ก.พ.'!N63</f>
        <v>103898</v>
      </c>
      <c r="E63" s="11"/>
      <c r="F63" s="11">
        <v>399168</v>
      </c>
      <c r="G63" s="11"/>
      <c r="H63" s="11"/>
      <c r="I63" s="11"/>
      <c r="J63" s="11"/>
      <c r="K63" s="11"/>
      <c r="L63" s="11"/>
      <c r="M63" s="11">
        <v>0</v>
      </c>
      <c r="N63" s="11">
        <f t="shared" si="1"/>
        <v>503066</v>
      </c>
    </row>
    <row r="64" spans="1:14" ht="23.25">
      <c r="A64" s="1" t="s">
        <v>277</v>
      </c>
      <c r="B64" s="2" t="s">
        <v>163</v>
      </c>
      <c r="C64" s="11">
        <f>'ก.พ.'!M64</f>
        <v>0</v>
      </c>
      <c r="D64" s="11">
        <f>'ก.พ.'!N64</f>
        <v>317500</v>
      </c>
      <c r="E64" s="11"/>
      <c r="F64" s="11">
        <v>952500</v>
      </c>
      <c r="G64" s="11">
        <f>313000+4500</f>
        <v>317500</v>
      </c>
      <c r="H64" s="11"/>
      <c r="I64" s="11"/>
      <c r="J64" s="11"/>
      <c r="K64" s="11"/>
      <c r="L64" s="11"/>
      <c r="M64" s="11">
        <v>0</v>
      </c>
      <c r="N64" s="11">
        <f t="shared" si="1"/>
        <v>952500</v>
      </c>
    </row>
    <row r="65" spans="1:14" ht="23.25">
      <c r="A65" s="1" t="s">
        <v>297</v>
      </c>
      <c r="B65" s="2" t="s">
        <v>167</v>
      </c>
      <c r="C65" s="11">
        <f>'ก.พ.'!M65</f>
        <v>0</v>
      </c>
      <c r="D65" s="11">
        <f>'ก.พ.'!N65</f>
        <v>0</v>
      </c>
      <c r="E65" s="11"/>
      <c r="F65" s="11"/>
      <c r="G65" s="11"/>
      <c r="H65" s="11"/>
      <c r="I65" s="11"/>
      <c r="J65" s="11"/>
      <c r="K65" s="11"/>
      <c r="L65" s="11"/>
      <c r="M65" s="11">
        <f t="shared" si="0"/>
        <v>0</v>
      </c>
      <c r="N65" s="11">
        <f t="shared" si="1"/>
        <v>0</v>
      </c>
    </row>
    <row r="66" spans="1:14" ht="23.25">
      <c r="A66" s="1" t="s">
        <v>120</v>
      </c>
      <c r="B66" s="2" t="s">
        <v>34</v>
      </c>
      <c r="C66" s="11">
        <f>'ก.พ.'!M66</f>
        <v>0</v>
      </c>
      <c r="D66" s="11">
        <f>'ก.พ.'!N66</f>
        <v>0</v>
      </c>
      <c r="E66" s="11"/>
      <c r="F66" s="11"/>
      <c r="G66" s="11">
        <v>55131</v>
      </c>
      <c r="H66" s="11">
        <v>55131</v>
      </c>
      <c r="I66" s="11"/>
      <c r="J66" s="11"/>
      <c r="K66" s="11"/>
      <c r="L66" s="11"/>
      <c r="M66" s="11">
        <f t="shared" si="0"/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f>'ก.พ.'!M67</f>
        <v>0</v>
      </c>
      <c r="D67" s="11">
        <f>'ก.พ.'!N67</f>
        <v>0</v>
      </c>
      <c r="E67" s="11"/>
      <c r="F67" s="11"/>
      <c r="G67" s="11">
        <v>48700</v>
      </c>
      <c r="H67" s="11">
        <v>48700</v>
      </c>
      <c r="I67" s="11"/>
      <c r="J67" s="11"/>
      <c r="K67" s="11"/>
      <c r="L67" s="11"/>
      <c r="M67" s="11">
        <f t="shared" si="0"/>
        <v>0</v>
      </c>
      <c r="N67" s="11">
        <f t="shared" si="1"/>
        <v>0</v>
      </c>
    </row>
    <row r="68" spans="1:14" ht="23.25">
      <c r="A68" s="1" t="s">
        <v>121</v>
      </c>
      <c r="B68" s="40" t="s">
        <v>34</v>
      </c>
      <c r="C68" s="11">
        <f>'ก.พ.'!M68</f>
        <v>0</v>
      </c>
      <c r="D68" s="11">
        <f>'ก.พ.'!N68</f>
        <v>0</v>
      </c>
      <c r="E68" s="11"/>
      <c r="F68" s="11"/>
      <c r="G68" s="11"/>
      <c r="H68" s="11"/>
      <c r="I68" s="11"/>
      <c r="J68" s="11"/>
      <c r="K68" s="11"/>
      <c r="L68" s="11"/>
      <c r="M68" s="11">
        <f t="shared" si="0"/>
        <v>0</v>
      </c>
      <c r="N68" s="11">
        <f t="shared" si="1"/>
        <v>0</v>
      </c>
    </row>
    <row r="69" spans="1:14" ht="23.25">
      <c r="A69" s="51" t="s">
        <v>94</v>
      </c>
      <c r="B69" s="40" t="s">
        <v>79</v>
      </c>
      <c r="C69" s="11">
        <f>'ก.พ.'!M69</f>
        <v>0</v>
      </c>
      <c r="D69" s="11">
        <f>'ก.พ.'!N69</f>
        <v>19100</v>
      </c>
      <c r="E69" s="11"/>
      <c r="F69" s="11"/>
      <c r="G69" s="11"/>
      <c r="H69" s="11"/>
      <c r="I69" s="11"/>
      <c r="J69" s="11">
        <v>6824</v>
      </c>
      <c r="K69" s="11"/>
      <c r="L69" s="11"/>
      <c r="M69" s="11">
        <v>0</v>
      </c>
      <c r="N69" s="11">
        <f t="shared" si="1"/>
        <v>25924</v>
      </c>
    </row>
    <row r="70" spans="1:14" ht="23.25">
      <c r="A70" s="51" t="s">
        <v>95</v>
      </c>
      <c r="B70" s="40" t="s">
        <v>80</v>
      </c>
      <c r="C70" s="11">
        <f>'ก.พ.'!M70</f>
        <v>0</v>
      </c>
      <c r="D70" s="11">
        <f>'ก.พ.'!N70</f>
        <v>0</v>
      </c>
      <c r="E70" s="11"/>
      <c r="F70" s="11"/>
      <c r="G70" s="11"/>
      <c r="H70" s="11"/>
      <c r="I70" s="11"/>
      <c r="J70" s="11">
        <v>48602.66</v>
      </c>
      <c r="K70" s="11"/>
      <c r="L70" s="11"/>
      <c r="M70" s="11">
        <v>0</v>
      </c>
      <c r="N70" s="11">
        <f t="shared" si="1"/>
        <v>48602.66</v>
      </c>
    </row>
    <row r="71" spans="1:14" ht="23.25">
      <c r="A71" s="51" t="s">
        <v>96</v>
      </c>
      <c r="B71" s="40" t="s">
        <v>81</v>
      </c>
      <c r="C71" s="11">
        <f>'ก.พ.'!M71</f>
        <v>0</v>
      </c>
      <c r="D71" s="11">
        <f>'ก.พ.'!N71</f>
        <v>5853</v>
      </c>
      <c r="E71" s="11"/>
      <c r="F71" s="11"/>
      <c r="G71" s="11"/>
      <c r="H71" s="11"/>
      <c r="I71" s="11"/>
      <c r="J71" s="11">
        <v>200</v>
      </c>
      <c r="K71" s="11"/>
      <c r="L71" s="11"/>
      <c r="M71" s="11">
        <v>0</v>
      </c>
      <c r="N71" s="11">
        <f t="shared" si="1"/>
        <v>6053</v>
      </c>
    </row>
    <row r="72" spans="1:14" ht="23.25">
      <c r="A72" s="51" t="s">
        <v>164</v>
      </c>
      <c r="B72" s="40" t="s">
        <v>162</v>
      </c>
      <c r="C72" s="11">
        <f>'ก.พ.'!M72</f>
        <v>0</v>
      </c>
      <c r="D72" s="11">
        <f>'ก.พ.'!N72</f>
        <v>21210</v>
      </c>
      <c r="E72" s="11"/>
      <c r="F72" s="11"/>
      <c r="G72" s="11"/>
      <c r="H72" s="11"/>
      <c r="I72" s="11"/>
      <c r="J72" s="11">
        <v>3690</v>
      </c>
      <c r="K72" s="11"/>
      <c r="L72" s="11"/>
      <c r="M72" s="11">
        <v>0</v>
      </c>
      <c r="N72" s="11">
        <f t="shared" si="1"/>
        <v>24900</v>
      </c>
    </row>
    <row r="73" spans="1:14" ht="23.25">
      <c r="A73" s="51" t="s">
        <v>153</v>
      </c>
      <c r="B73" s="40" t="s">
        <v>83</v>
      </c>
      <c r="C73" s="11">
        <f>'ก.พ.'!M73</f>
        <v>0</v>
      </c>
      <c r="D73" s="11">
        <f>'ก.พ.'!N73</f>
        <v>1540188.6099999999</v>
      </c>
      <c r="E73" s="11"/>
      <c r="F73" s="11"/>
      <c r="G73" s="11"/>
      <c r="H73" s="11"/>
      <c r="I73" s="11"/>
      <c r="J73" s="11">
        <v>832336.11</v>
      </c>
      <c r="K73" s="11"/>
      <c r="L73" s="11"/>
      <c r="M73" s="11">
        <v>0</v>
      </c>
      <c r="N73" s="11">
        <f aca="true" t="shared" si="2" ref="N73:N91">SUM(D73+F73+H73+J73+L73)-(C73+E73+G73+I73+K73)</f>
        <v>2372524.7199999997</v>
      </c>
    </row>
    <row r="74" spans="1:14" ht="23.25">
      <c r="A74" s="51" t="s">
        <v>125</v>
      </c>
      <c r="B74" s="40" t="s">
        <v>160</v>
      </c>
      <c r="C74" s="11">
        <f>'ก.พ.'!M74</f>
        <v>0</v>
      </c>
      <c r="D74" s="11">
        <f>'ก.พ.'!N74</f>
        <v>658238.73</v>
      </c>
      <c r="E74" s="11"/>
      <c r="F74" s="11"/>
      <c r="G74" s="11"/>
      <c r="H74" s="11"/>
      <c r="I74" s="11"/>
      <c r="J74" s="11">
        <v>333569.56</v>
      </c>
      <c r="K74" s="11"/>
      <c r="L74" s="11"/>
      <c r="M74" s="11">
        <v>0</v>
      </c>
      <c r="N74" s="11">
        <f t="shared" si="2"/>
        <v>991808.29</v>
      </c>
    </row>
    <row r="75" spans="1:14" ht="23.25">
      <c r="A75" s="51" t="s">
        <v>123</v>
      </c>
      <c r="B75" s="40" t="s">
        <v>161</v>
      </c>
      <c r="C75" s="11">
        <f>'ก.พ.'!M75</f>
        <v>0</v>
      </c>
      <c r="D75" s="11">
        <f>'ก.พ.'!N75</f>
        <v>58140</v>
      </c>
      <c r="E75" s="11"/>
      <c r="F75" s="11"/>
      <c r="G75" s="11"/>
      <c r="H75" s="11"/>
      <c r="I75" s="11"/>
      <c r="J75" s="11">
        <v>17886</v>
      </c>
      <c r="K75" s="11"/>
      <c r="L75" s="11"/>
      <c r="M75" s="11">
        <v>0</v>
      </c>
      <c r="N75" s="11">
        <f t="shared" si="2"/>
        <v>76026</v>
      </c>
    </row>
    <row r="76" spans="1:14" ht="23.25">
      <c r="A76" s="51" t="s">
        <v>98</v>
      </c>
      <c r="B76" s="40" t="s">
        <v>85</v>
      </c>
      <c r="C76" s="11">
        <f>'ก.พ.'!M76</f>
        <v>0</v>
      </c>
      <c r="D76" s="11">
        <f>'ก.พ.'!N76</f>
        <v>365645.28</v>
      </c>
      <c r="E76" s="11"/>
      <c r="F76" s="11"/>
      <c r="G76" s="11"/>
      <c r="H76" s="11"/>
      <c r="I76" s="11"/>
      <c r="J76" s="11">
        <v>191974.61</v>
      </c>
      <c r="K76" s="11"/>
      <c r="L76" s="11"/>
      <c r="M76" s="11">
        <v>0</v>
      </c>
      <c r="N76" s="11">
        <f t="shared" si="2"/>
        <v>557619.89</v>
      </c>
    </row>
    <row r="77" spans="1:14" ht="23.25">
      <c r="A77" s="51" t="s">
        <v>99</v>
      </c>
      <c r="B77" s="40" t="s">
        <v>86</v>
      </c>
      <c r="C77" s="11">
        <f>'ก.พ.'!M77</f>
        <v>0</v>
      </c>
      <c r="D77" s="11">
        <f>'ก.พ.'!N77</f>
        <v>972195.55</v>
      </c>
      <c r="E77" s="11"/>
      <c r="F77" s="11"/>
      <c r="G77" s="11"/>
      <c r="H77" s="11"/>
      <c r="I77" s="11"/>
      <c r="J77" s="11">
        <v>500961.21</v>
      </c>
      <c r="K77" s="11"/>
      <c r="L77" s="11"/>
      <c r="M77" s="11">
        <v>0</v>
      </c>
      <c r="N77" s="11">
        <f t="shared" si="2"/>
        <v>1473156.76</v>
      </c>
    </row>
    <row r="78" spans="1:14" ht="23.25">
      <c r="A78" s="51" t="s">
        <v>100</v>
      </c>
      <c r="B78" s="40" t="s">
        <v>87</v>
      </c>
      <c r="C78" s="11">
        <f>'ก.พ.'!M78</f>
        <v>0</v>
      </c>
      <c r="D78" s="11">
        <f>'ก.พ.'!N78</f>
        <v>7068.06</v>
      </c>
      <c r="E78" s="11"/>
      <c r="F78" s="11"/>
      <c r="G78" s="11"/>
      <c r="H78" s="11"/>
      <c r="I78" s="11"/>
      <c r="J78" s="11"/>
      <c r="K78" s="11"/>
      <c r="L78" s="11"/>
      <c r="M78" s="11">
        <v>0</v>
      </c>
      <c r="N78" s="11">
        <f t="shared" si="2"/>
        <v>7068.06</v>
      </c>
    </row>
    <row r="79" spans="1:14" ht="23.25">
      <c r="A79" s="51" t="s">
        <v>293</v>
      </c>
      <c r="B79" s="40" t="s">
        <v>87</v>
      </c>
      <c r="C79" s="11">
        <f>'ก.พ.'!M79</f>
        <v>0</v>
      </c>
      <c r="D79" s="11">
        <f>'ก.พ.'!N79</f>
        <v>11653.88</v>
      </c>
      <c r="E79" s="39"/>
      <c r="F79" s="39"/>
      <c r="G79" s="11"/>
      <c r="H79" s="11"/>
      <c r="I79" s="11"/>
      <c r="J79" s="11">
        <v>12874.72</v>
      </c>
      <c r="K79" s="11"/>
      <c r="L79" s="11"/>
      <c r="M79" s="11">
        <v>0</v>
      </c>
      <c r="N79" s="11">
        <f t="shared" si="2"/>
        <v>24528.6</v>
      </c>
    </row>
    <row r="80" spans="1:14" ht="23.25">
      <c r="A80" s="51" t="s">
        <v>280</v>
      </c>
      <c r="B80" s="40" t="s">
        <v>88</v>
      </c>
      <c r="C80" s="11">
        <f>'ก.พ.'!M80</f>
        <v>0</v>
      </c>
      <c r="D80" s="11">
        <f>'ก.พ.'!N80</f>
        <v>2.91</v>
      </c>
      <c r="E80" s="39"/>
      <c r="F80" s="39"/>
      <c r="G80" s="11"/>
      <c r="H80" s="11"/>
      <c r="I80" s="11"/>
      <c r="J80" s="11"/>
      <c r="K80" s="11"/>
      <c r="L80" s="11"/>
      <c r="M80" s="11">
        <v>0</v>
      </c>
      <c r="N80" s="11">
        <f t="shared" si="2"/>
        <v>2.91</v>
      </c>
    </row>
    <row r="81" spans="1:14" ht="23.25">
      <c r="A81" s="51" t="s">
        <v>124</v>
      </c>
      <c r="B81" s="40" t="s">
        <v>89</v>
      </c>
      <c r="C81" s="11">
        <f>'ก.พ.'!M81</f>
        <v>0</v>
      </c>
      <c r="D81" s="11">
        <f>'ก.พ.'!N81</f>
        <v>131020</v>
      </c>
      <c r="E81" s="39"/>
      <c r="F81" s="39"/>
      <c r="G81" s="11"/>
      <c r="H81" s="11"/>
      <c r="I81" s="11"/>
      <c r="J81" s="11">
        <v>102881</v>
      </c>
      <c r="K81" s="11"/>
      <c r="L81" s="11"/>
      <c r="M81" s="11">
        <v>0</v>
      </c>
      <c r="N81" s="11">
        <f t="shared" si="2"/>
        <v>233901</v>
      </c>
    </row>
    <row r="82" spans="1:14" ht="23.25">
      <c r="A82" s="51" t="s">
        <v>132</v>
      </c>
      <c r="B82" s="40" t="s">
        <v>133</v>
      </c>
      <c r="C82" s="11">
        <f>'ก.พ.'!M82</f>
        <v>0</v>
      </c>
      <c r="D82" s="11">
        <f>'ก.พ.'!N82</f>
        <v>5000</v>
      </c>
      <c r="E82" s="39"/>
      <c r="F82" s="39"/>
      <c r="G82" s="11"/>
      <c r="H82" s="11"/>
      <c r="I82" s="11"/>
      <c r="J82" s="11"/>
      <c r="K82" s="11"/>
      <c r="L82" s="11"/>
      <c r="M82" s="11">
        <v>0</v>
      </c>
      <c r="N82" s="11">
        <f t="shared" si="2"/>
        <v>5000</v>
      </c>
    </row>
    <row r="83" spans="1:14" ht="23.25">
      <c r="A83" s="51" t="s">
        <v>294</v>
      </c>
      <c r="B83" s="40" t="s">
        <v>90</v>
      </c>
      <c r="C83" s="11">
        <f>'ก.พ.'!M83</f>
        <v>0</v>
      </c>
      <c r="D83" s="11">
        <f>'ก.พ.'!N83</f>
        <v>2743.22</v>
      </c>
      <c r="E83" s="39"/>
      <c r="F83" s="39"/>
      <c r="G83" s="11"/>
      <c r="H83" s="11"/>
      <c r="I83" s="11"/>
      <c r="J83" s="11">
        <v>9117.11</v>
      </c>
      <c r="K83" s="11"/>
      <c r="L83" s="11"/>
      <c r="M83" s="11">
        <v>0</v>
      </c>
      <c r="N83" s="11">
        <f t="shared" si="2"/>
        <v>11860.33</v>
      </c>
    </row>
    <row r="84" spans="1:14" ht="23.25">
      <c r="A84" s="51" t="s">
        <v>295</v>
      </c>
      <c r="B84" s="40" t="s">
        <v>91</v>
      </c>
      <c r="C84" s="11">
        <f>'ก.พ.'!M84</f>
        <v>0</v>
      </c>
      <c r="D84" s="11">
        <f>'ก.พ.'!N84</f>
        <v>28000</v>
      </c>
      <c r="E84" s="39"/>
      <c r="F84" s="39"/>
      <c r="G84" s="11"/>
      <c r="H84" s="11"/>
      <c r="I84" s="11"/>
      <c r="J84" s="11"/>
      <c r="K84" s="11">
        <v>21000</v>
      </c>
      <c r="L84" s="11"/>
      <c r="M84" s="11">
        <v>0</v>
      </c>
      <c r="N84" s="11">
        <f t="shared" si="2"/>
        <v>7000</v>
      </c>
    </row>
    <row r="85" spans="1:14" ht="23.25">
      <c r="A85" s="51" t="s">
        <v>104</v>
      </c>
      <c r="B85" s="40" t="s">
        <v>92</v>
      </c>
      <c r="C85" s="11">
        <f>'ก.พ.'!M85</f>
        <v>0</v>
      </c>
      <c r="D85" s="11">
        <f>'ก.พ.'!N85</f>
        <v>8890</v>
      </c>
      <c r="E85" s="39"/>
      <c r="F85" s="39"/>
      <c r="G85" s="11"/>
      <c r="H85" s="11"/>
      <c r="I85" s="11"/>
      <c r="J85" s="11">
        <v>930</v>
      </c>
      <c r="K85" s="11"/>
      <c r="L85" s="11"/>
      <c r="M85" s="11">
        <v>0</v>
      </c>
      <c r="N85" s="11">
        <f t="shared" si="2"/>
        <v>9820</v>
      </c>
    </row>
    <row r="86" spans="1:14" ht="23.25">
      <c r="A86" s="51" t="s">
        <v>105</v>
      </c>
      <c r="B86" s="40" t="s">
        <v>93</v>
      </c>
      <c r="C86" s="11">
        <f>'ก.พ.'!M86</f>
        <v>0</v>
      </c>
      <c r="D86" s="11">
        <f>'ก.พ.'!N86</f>
        <v>10264971</v>
      </c>
      <c r="E86" s="39"/>
      <c r="F86" s="39"/>
      <c r="G86" s="39"/>
      <c r="H86" s="39"/>
      <c r="I86" s="39"/>
      <c r="J86" s="39"/>
      <c r="K86" s="39"/>
      <c r="L86" s="39"/>
      <c r="M86" s="11">
        <v>0</v>
      </c>
      <c r="N86" s="11">
        <f t="shared" si="2"/>
        <v>10264971</v>
      </c>
    </row>
    <row r="87" spans="1:14" ht="23.25">
      <c r="A87" s="1" t="s">
        <v>106</v>
      </c>
      <c r="B87" s="40" t="s">
        <v>133</v>
      </c>
      <c r="C87" s="11">
        <f>'ก.พ.'!M87</f>
        <v>0</v>
      </c>
      <c r="D87" s="11">
        <f>'ก.พ.'!N87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 t="shared" si="2"/>
        <v>53000</v>
      </c>
    </row>
    <row r="88" spans="1:14" ht="23.25">
      <c r="A88" s="51" t="s">
        <v>140</v>
      </c>
      <c r="B88" s="40" t="s">
        <v>159</v>
      </c>
      <c r="C88" s="11">
        <f>'ก.พ.'!M88</f>
        <v>0</v>
      </c>
      <c r="D88" s="11">
        <f>'ก.พ.'!N88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f>SUM(C88+E88+G88+I88+K88)-(D88+F88+H88+J88+L88)</f>
        <v>0</v>
      </c>
      <c r="N88" s="11">
        <f t="shared" si="2"/>
        <v>0</v>
      </c>
    </row>
    <row r="89" spans="1:14" ht="23.25">
      <c r="A89" s="1" t="s">
        <v>143</v>
      </c>
      <c r="B89" s="53"/>
      <c r="C89" s="11">
        <f>'ก.พ.'!M89</f>
        <v>0</v>
      </c>
      <c r="D89" s="11">
        <f>'ก.พ.'!N89</f>
        <v>0</v>
      </c>
      <c r="E89" s="39"/>
      <c r="F89" s="39"/>
      <c r="G89" s="39"/>
      <c r="H89" s="39"/>
      <c r="I89" s="39"/>
      <c r="J89" s="39"/>
      <c r="K89" s="39"/>
      <c r="L89" s="39"/>
      <c r="M89" s="11">
        <f>SUM(C89+E89+G89+I89+K89)-(D89+F89+H89+J89+L89)</f>
        <v>0</v>
      </c>
      <c r="N89" s="11">
        <f t="shared" si="2"/>
        <v>0</v>
      </c>
    </row>
    <row r="90" spans="1:14" ht="23.25">
      <c r="A90" s="282" t="s">
        <v>307</v>
      </c>
      <c r="B90" s="283" t="s">
        <v>168</v>
      </c>
      <c r="D90" s="11">
        <f>'ก.พ.'!N91</f>
        <v>0</v>
      </c>
      <c r="E90" s="39"/>
      <c r="F90" s="39"/>
      <c r="G90" s="39"/>
      <c r="H90" s="39"/>
      <c r="I90" s="39"/>
      <c r="J90" s="39"/>
      <c r="K90" s="39"/>
      <c r="L90" s="39"/>
      <c r="M90" s="11">
        <f>SUM(C90+E90+G90+I90+K90)-(D90+F90+H90+J90+L90)</f>
        <v>0</v>
      </c>
      <c r="N90" s="11">
        <f t="shared" si="2"/>
        <v>0</v>
      </c>
    </row>
    <row r="91" spans="1:14" ht="23.25">
      <c r="A91" s="285" t="s">
        <v>308</v>
      </c>
      <c r="B91" s="8" t="s">
        <v>168</v>
      </c>
      <c r="C91" s="11">
        <f>'ก.พ.'!M91</f>
        <v>0</v>
      </c>
      <c r="D91" s="11">
        <v>0</v>
      </c>
      <c r="E91" s="13"/>
      <c r="F91" s="13">
        <v>27000</v>
      </c>
      <c r="G91" s="13"/>
      <c r="H91" s="13"/>
      <c r="I91" s="13"/>
      <c r="J91" s="13"/>
      <c r="K91" s="13"/>
      <c r="L91" s="13">
        <v>21000</v>
      </c>
      <c r="M91" s="11">
        <v>0</v>
      </c>
      <c r="N91" s="11">
        <f t="shared" si="2"/>
        <v>48000</v>
      </c>
    </row>
    <row r="92" spans="1:14" ht="24" thickBot="1">
      <c r="A92" s="3"/>
      <c r="B92" s="4"/>
      <c r="C92" s="42">
        <f>SUM(C6:C91)</f>
        <v>20145862.6</v>
      </c>
      <c r="D92" s="42">
        <f aca="true" t="shared" si="3" ref="D92:N92">SUM(D6:D91)</f>
        <v>20145862.6</v>
      </c>
      <c r="E92" s="14">
        <f t="shared" si="3"/>
        <v>3600099.2399999998</v>
      </c>
      <c r="F92" s="14">
        <f t="shared" si="3"/>
        <v>3600099.2399999998</v>
      </c>
      <c r="G92" s="14">
        <f t="shared" si="3"/>
        <v>2693104.48</v>
      </c>
      <c r="H92" s="14">
        <f t="shared" si="3"/>
        <v>2693104.48</v>
      </c>
      <c r="I92" s="14">
        <f t="shared" si="3"/>
        <v>2061846.98</v>
      </c>
      <c r="J92" s="14">
        <f t="shared" si="3"/>
        <v>2061846.98</v>
      </c>
      <c r="K92" s="14">
        <f t="shared" si="3"/>
        <v>5352700.47</v>
      </c>
      <c r="L92" s="14">
        <f t="shared" si="3"/>
        <v>5352700.47</v>
      </c>
      <c r="M92" s="42">
        <f t="shared" si="3"/>
        <v>23435359.79</v>
      </c>
      <c r="N92" s="42">
        <f t="shared" si="3"/>
        <v>23435359.79</v>
      </c>
    </row>
    <row r="93" spans="1:14" ht="24" thickTop="1">
      <c r="A93" s="3"/>
      <c r="B93" s="4"/>
      <c r="C93" s="15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</row>
    <row r="94" spans="1:14" ht="23.25">
      <c r="A94" s="16"/>
      <c r="B94" s="309"/>
      <c r="C94" s="309"/>
      <c r="D94" s="309"/>
      <c r="E94" s="309"/>
      <c r="F94" s="309"/>
      <c r="G94" s="309"/>
      <c r="H94" s="16"/>
      <c r="I94" s="16"/>
      <c r="J94" s="16"/>
      <c r="K94" s="16"/>
      <c r="L94" s="16"/>
      <c r="M94" s="16"/>
      <c r="N94" s="16"/>
    </row>
    <row r="95" spans="1:14" ht="23.25">
      <c r="A95" s="3"/>
      <c r="B95" s="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23.25">
      <c r="A96" s="16"/>
      <c r="B96" s="309"/>
      <c r="C96" s="309"/>
      <c r="D96" s="309"/>
      <c r="E96" s="309"/>
      <c r="F96" s="309"/>
      <c r="G96" s="309"/>
      <c r="H96" s="16"/>
      <c r="I96" s="309"/>
      <c r="J96" s="309"/>
      <c r="K96" s="309"/>
      <c r="L96" s="16"/>
      <c r="M96" s="16"/>
      <c r="N96" s="16"/>
    </row>
    <row r="97" spans="1:14" ht="22.5" customHeight="1">
      <c r="A97" s="16"/>
      <c r="B97" s="309"/>
      <c r="C97" s="309"/>
      <c r="D97" s="309"/>
      <c r="E97" s="309"/>
      <c r="F97" s="309"/>
      <c r="G97" s="309"/>
      <c r="H97" s="16"/>
      <c r="I97" s="309"/>
      <c r="J97" s="309"/>
      <c r="K97" s="309"/>
      <c r="L97" s="16"/>
      <c r="M97" s="16"/>
      <c r="N97" s="16"/>
    </row>
    <row r="98" spans="1:14" ht="13.5" customHeight="1">
      <c r="A98" s="3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t="23.25">
      <c r="B99" s="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t="23.25"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t="23.25">
      <c r="B101" s="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t="23.25">
      <c r="B102" s="4"/>
      <c r="D102" s="16"/>
      <c r="E102" s="16"/>
      <c r="F102" s="16"/>
      <c r="G102" s="16"/>
      <c r="H102" s="16"/>
      <c r="I102" s="16"/>
      <c r="J102" s="16"/>
      <c r="K102" s="16"/>
      <c r="L102" s="16"/>
      <c r="M102" s="73"/>
      <c r="N102" s="16"/>
    </row>
    <row r="103" spans="1:14" ht="23.25">
      <c r="A103" s="3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3.25">
      <c r="A104" s="3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3.25">
      <c r="A105" s="3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3.25">
      <c r="A106" s="3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</sheetData>
  <sheetProtection/>
  <mergeCells count="17">
    <mergeCell ref="I96:K96"/>
    <mergeCell ref="I97:K97"/>
    <mergeCell ref="B94:D94"/>
    <mergeCell ref="B96:D96"/>
    <mergeCell ref="B97:D97"/>
    <mergeCell ref="E94:G94"/>
    <mergeCell ref="E96:G96"/>
    <mergeCell ref="E97:G97"/>
    <mergeCell ref="A1:N1"/>
    <mergeCell ref="A2:N2"/>
    <mergeCell ref="K4:L4"/>
    <mergeCell ref="M4:N4"/>
    <mergeCell ref="A4:A5"/>
    <mergeCell ref="C4:D4"/>
    <mergeCell ref="E4:F4"/>
    <mergeCell ref="G4:H4"/>
    <mergeCell ref="I4:J4"/>
  </mergeCells>
  <printOptions/>
  <pageMargins left="0.1968503937007874" right="0" top="0.5905511811023623" bottom="0.32" header="0" footer="0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106"/>
  <sheetViews>
    <sheetView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64" sqref="N64"/>
    </sheetView>
  </sheetViews>
  <sheetFormatPr defaultColWidth="9.140625" defaultRowHeight="12.75"/>
  <cols>
    <col min="1" max="1" width="55.7109375" style="5" customWidth="1"/>
    <col min="2" max="2" width="7.7109375" style="5" customWidth="1"/>
    <col min="3" max="3" width="13.28125" style="9" customWidth="1"/>
    <col min="4" max="4" width="13.57421875" style="9" customWidth="1"/>
    <col min="5" max="14" width="13.7109375" style="9" customWidth="1"/>
    <col min="15" max="36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271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23.25">
      <c r="A4" s="307" t="s">
        <v>0</v>
      </c>
      <c r="B4" s="30" t="s">
        <v>77</v>
      </c>
      <c r="C4" s="305" t="s">
        <v>286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14" ht="23.25">
      <c r="A6" s="6" t="s">
        <v>51</v>
      </c>
      <c r="B6" s="7" t="s">
        <v>5</v>
      </c>
      <c r="C6" s="32">
        <f>'มี.ค.'!M6</f>
        <v>0</v>
      </c>
      <c r="D6" s="32">
        <f>'มี.ค.'!N6</f>
        <v>0</v>
      </c>
      <c r="E6" s="10"/>
      <c r="F6" s="10"/>
      <c r="G6" s="10"/>
      <c r="H6" s="10"/>
      <c r="I6" s="10"/>
      <c r="J6" s="10"/>
      <c r="K6" s="10"/>
      <c r="L6" s="10"/>
      <c r="M6" s="11">
        <f>SUM(C6+E6+G6+I6+K6)-(D6+F6+H6+J6+L6)</f>
        <v>0</v>
      </c>
      <c r="N6" s="11">
        <v>0</v>
      </c>
    </row>
    <row r="7" spans="1:15" ht="23.25">
      <c r="A7" s="1" t="s">
        <v>116</v>
      </c>
      <c r="B7" s="2" t="s">
        <v>6</v>
      </c>
      <c r="C7" s="11">
        <f>'มี.ค.'!M7</f>
        <v>0</v>
      </c>
      <c r="D7" s="11">
        <f>'มี.ค.'!N7</f>
        <v>0</v>
      </c>
      <c r="E7" s="12">
        <v>415033.21</v>
      </c>
      <c r="F7" s="12"/>
      <c r="G7" s="12"/>
      <c r="H7" s="12">
        <v>375460</v>
      </c>
      <c r="I7" s="12"/>
      <c r="J7" s="12"/>
      <c r="K7" s="12"/>
      <c r="L7" s="12"/>
      <c r="M7" s="11">
        <f>SUM(C7+E7+G7+I7+K7)-(D7+F7+H7+J7+L7)</f>
        <v>39573.21000000002</v>
      </c>
      <c r="N7" s="11">
        <v>0</v>
      </c>
      <c r="O7" s="52">
        <f>39573.21-M7</f>
        <v>0</v>
      </c>
    </row>
    <row r="8" spans="1:14" ht="23.25">
      <c r="A8" s="1" t="s">
        <v>130</v>
      </c>
      <c r="B8" s="2" t="s">
        <v>7</v>
      </c>
      <c r="C8" s="11">
        <f>'มี.ค.'!M8</f>
        <v>570508.51</v>
      </c>
      <c r="D8" s="11">
        <f>'มี.ค.'!N8</f>
        <v>0</v>
      </c>
      <c r="E8" s="11"/>
      <c r="F8" s="11"/>
      <c r="G8" s="11"/>
      <c r="H8" s="11"/>
      <c r="I8" s="11"/>
      <c r="J8" s="11"/>
      <c r="K8" s="11"/>
      <c r="L8" s="11"/>
      <c r="M8" s="11">
        <f>SUM(C8+E8+G8+I8+K8)-(D8+F8+H8+J8+L8)</f>
        <v>570508.51</v>
      </c>
      <c r="N8" s="11">
        <v>0</v>
      </c>
    </row>
    <row r="9" spans="1:14" ht="23.25">
      <c r="A9" s="1" t="s">
        <v>134</v>
      </c>
      <c r="B9" s="2" t="s">
        <v>7</v>
      </c>
      <c r="C9" s="11">
        <f>'มี.ค.'!M9</f>
        <v>0</v>
      </c>
      <c r="D9" s="11">
        <f>'มี.ค.'!N9</f>
        <v>0</v>
      </c>
      <c r="E9" s="11"/>
      <c r="F9" s="11"/>
      <c r="G9" s="11"/>
      <c r="H9" s="11">
        <v>1474836.87</v>
      </c>
      <c r="I9" s="11"/>
      <c r="J9" s="11"/>
      <c r="K9" s="11">
        <v>1474836.87</v>
      </c>
      <c r="L9" s="11"/>
      <c r="M9" s="11">
        <v>0</v>
      </c>
      <c r="N9" s="11">
        <f>SUM(D9+F9+H9+J9+L9)-(C9+E9+G9+I9+K9)</f>
        <v>0</v>
      </c>
    </row>
    <row r="10" spans="1:16" ht="23.25">
      <c r="A10" s="1" t="s">
        <v>117</v>
      </c>
      <c r="B10" s="2" t="s">
        <v>8</v>
      </c>
      <c r="C10" s="11">
        <f>'มี.ค.'!M10</f>
        <v>12174000.299999999</v>
      </c>
      <c r="D10" s="11">
        <f>'มี.ค.'!N10</f>
        <v>0</v>
      </c>
      <c r="E10" s="11">
        <v>265299</v>
      </c>
      <c r="F10" s="11"/>
      <c r="G10" s="11"/>
      <c r="H10" s="11"/>
      <c r="I10" s="11"/>
      <c r="J10" s="11"/>
      <c r="K10" s="11">
        <v>2970</v>
      </c>
      <c r="L10" s="11">
        <v>1474836.87</v>
      </c>
      <c r="M10" s="11">
        <f aca="true" t="shared" si="0" ref="M10:M67">SUM(C10+E10+G10+I10+K10)-(D10+F10+H10+J10+L10)</f>
        <v>10967432.43</v>
      </c>
      <c r="N10" s="11">
        <v>0</v>
      </c>
      <c r="O10" s="9">
        <f>11339469.27-246069-45381-M10</f>
        <v>80586.83999999985</v>
      </c>
      <c r="P10" s="52">
        <f>80586.84-O10</f>
        <v>1.4551915228366852E-10</v>
      </c>
    </row>
    <row r="11" spans="1:15" ht="23.25">
      <c r="A11" s="1" t="s">
        <v>128</v>
      </c>
      <c r="B11" s="2" t="s">
        <v>8</v>
      </c>
      <c r="C11" s="11">
        <f>'มี.ค.'!M11</f>
        <v>1064396.77</v>
      </c>
      <c r="D11" s="11">
        <f>'มี.ค.'!N11</f>
        <v>0</v>
      </c>
      <c r="E11" s="11">
        <v>73000</v>
      </c>
      <c r="F11" s="11"/>
      <c r="G11" s="11"/>
      <c r="H11" s="11"/>
      <c r="I11" s="11"/>
      <c r="J11" s="11"/>
      <c r="K11" s="11"/>
      <c r="L11" s="11"/>
      <c r="M11" s="11">
        <f t="shared" si="0"/>
        <v>1137396.77</v>
      </c>
      <c r="N11" s="11">
        <v>0</v>
      </c>
      <c r="O11" s="9">
        <f>1137396.77-M11</f>
        <v>0</v>
      </c>
    </row>
    <row r="12" spans="1:14" ht="23.25">
      <c r="A12" s="1" t="s">
        <v>131</v>
      </c>
      <c r="B12" s="2" t="s">
        <v>8</v>
      </c>
      <c r="C12" s="11">
        <f>'มี.ค.'!M12</f>
        <v>1621.45</v>
      </c>
      <c r="D12" s="11">
        <f>'มี.ค.'!N12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1621.45</v>
      </c>
      <c r="N12" s="11">
        <v>0</v>
      </c>
    </row>
    <row r="13" spans="1:18" ht="23.25">
      <c r="A13" s="1" t="s">
        <v>39</v>
      </c>
      <c r="B13" s="2" t="s">
        <v>40</v>
      </c>
      <c r="C13" s="11">
        <f>'มี.ค.'!M13</f>
        <v>56295</v>
      </c>
      <c r="D13" s="11">
        <f>'มี.ค.'!N13</f>
        <v>0</v>
      </c>
      <c r="E13" s="11"/>
      <c r="F13" s="11">
        <v>1600</v>
      </c>
      <c r="G13" s="11">
        <v>106200</v>
      </c>
      <c r="H13" s="11"/>
      <c r="I13" s="11"/>
      <c r="J13" s="11"/>
      <c r="K13" s="11"/>
      <c r="L13" s="11">
        <v>128100</v>
      </c>
      <c r="M13" s="11">
        <f t="shared" si="0"/>
        <v>32795</v>
      </c>
      <c r="N13" s="11">
        <v>0</v>
      </c>
      <c r="O13" s="52"/>
      <c r="P13" s="279">
        <v>30000</v>
      </c>
      <c r="Q13" s="277"/>
      <c r="R13" s="5">
        <v>2420</v>
      </c>
    </row>
    <row r="14" spans="1:18" ht="23.25">
      <c r="A14" s="1" t="s">
        <v>110</v>
      </c>
      <c r="B14" s="2" t="s">
        <v>111</v>
      </c>
      <c r="C14" s="11">
        <f>'มี.ค.'!M14</f>
        <v>0</v>
      </c>
      <c r="D14" s="11">
        <f>'มี.ค.'!N14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  <c r="P14" s="279">
        <f>2000+295+500</f>
        <v>2795</v>
      </c>
      <c r="Q14" s="277"/>
      <c r="R14" s="5">
        <v>1600</v>
      </c>
    </row>
    <row r="15" spans="1:18" ht="23.25">
      <c r="A15" s="1" t="s">
        <v>52</v>
      </c>
      <c r="B15" s="2" t="s">
        <v>9</v>
      </c>
      <c r="C15" s="11">
        <f>'มี.ค.'!M15</f>
        <v>295195</v>
      </c>
      <c r="D15" s="11">
        <f>'มี.ค.'!N15</f>
        <v>0</v>
      </c>
      <c r="E15" s="11"/>
      <c r="F15" s="11"/>
      <c r="G15" s="11">
        <v>16148</v>
      </c>
      <c r="H15" s="11"/>
      <c r="I15" s="11"/>
      <c r="J15" s="11"/>
      <c r="K15" s="11"/>
      <c r="L15" s="11"/>
      <c r="M15" s="11">
        <f t="shared" si="0"/>
        <v>311343</v>
      </c>
      <c r="N15" s="11">
        <v>0</v>
      </c>
      <c r="P15" s="278"/>
      <c r="R15" s="5">
        <v>10000</v>
      </c>
    </row>
    <row r="16" spans="1:18" ht="23.25">
      <c r="A16" s="6" t="s">
        <v>10</v>
      </c>
      <c r="B16" s="7" t="s">
        <v>11</v>
      </c>
      <c r="C16" s="11">
        <f>'มี.ค.'!M16</f>
        <v>1462115</v>
      </c>
      <c r="D16" s="11">
        <f>'มี.ค.'!N16</f>
        <v>0</v>
      </c>
      <c r="E16" s="11"/>
      <c r="F16" s="11"/>
      <c r="G16" s="11">
        <v>226780</v>
      </c>
      <c r="H16" s="11"/>
      <c r="I16" s="11"/>
      <c r="J16" s="11"/>
      <c r="K16" s="11"/>
      <c r="L16" s="11">
        <v>104560</v>
      </c>
      <c r="M16" s="11">
        <f t="shared" si="0"/>
        <v>1584335</v>
      </c>
      <c r="N16" s="11">
        <v>0</v>
      </c>
      <c r="P16" s="279"/>
      <c r="R16" s="5">
        <v>2000</v>
      </c>
    </row>
    <row r="17" spans="1:18" ht="23.25">
      <c r="A17" s="1" t="s">
        <v>12</v>
      </c>
      <c r="B17" s="2" t="s">
        <v>13</v>
      </c>
      <c r="C17" s="11">
        <f>'มี.ค.'!M17</f>
        <v>0</v>
      </c>
      <c r="D17" s="11">
        <f>'มี.ค.'!N17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f>SUM(D17+F17+H17+J17+L17)-(C17+E17+G17+I17+K17)</f>
        <v>0</v>
      </c>
      <c r="P17" s="279">
        <f>SUM(P13:P16)</f>
        <v>32795</v>
      </c>
      <c r="R17" s="5">
        <v>4030</v>
      </c>
    </row>
    <row r="18" spans="1:18" ht="23.25">
      <c r="A18" s="1" t="s">
        <v>14</v>
      </c>
      <c r="B18" s="2" t="s">
        <v>15</v>
      </c>
      <c r="C18" s="11">
        <f>'มี.ค.'!M18</f>
        <v>709880</v>
      </c>
      <c r="D18" s="11">
        <f>'มี.ค.'!N18</f>
        <v>0</v>
      </c>
      <c r="E18" s="11"/>
      <c r="F18" s="11"/>
      <c r="G18" s="11">
        <v>135740</v>
      </c>
      <c r="H18" s="11"/>
      <c r="I18" s="11"/>
      <c r="J18" s="11"/>
      <c r="K18" s="11">
        <v>104560</v>
      </c>
      <c r="L18" s="11"/>
      <c r="M18" s="11">
        <f t="shared" si="0"/>
        <v>950180</v>
      </c>
      <c r="N18" s="11">
        <v>0</v>
      </c>
      <c r="R18" s="5">
        <f>SUM(R13:R17)</f>
        <v>20050</v>
      </c>
    </row>
    <row r="19" spans="1:14" ht="23.25">
      <c r="A19" s="1" t="s">
        <v>16</v>
      </c>
      <c r="B19" s="2" t="s">
        <v>17</v>
      </c>
      <c r="C19" s="11">
        <f>'มี.ค.'!M19</f>
        <v>1690774</v>
      </c>
      <c r="D19" s="11">
        <f>'มี.ค.'!N19</f>
        <v>0</v>
      </c>
      <c r="E19" s="11"/>
      <c r="F19" s="11"/>
      <c r="G19" s="11">
        <v>265628</v>
      </c>
      <c r="H19" s="11"/>
      <c r="I19" s="11"/>
      <c r="J19" s="11"/>
      <c r="K19" s="11"/>
      <c r="L19" s="11"/>
      <c r="M19" s="11">
        <f t="shared" si="0"/>
        <v>1956402</v>
      </c>
      <c r="N19" s="11">
        <v>0</v>
      </c>
    </row>
    <row r="20" spans="1:14" ht="23.25">
      <c r="A20" s="1" t="s">
        <v>18</v>
      </c>
      <c r="B20" s="2" t="s">
        <v>19</v>
      </c>
      <c r="C20" s="11">
        <f>'มี.ค.'!M20</f>
        <v>1716754.03</v>
      </c>
      <c r="D20" s="11">
        <f>'มี.ค.'!N20</f>
        <v>0</v>
      </c>
      <c r="E20" s="11"/>
      <c r="F20" s="11"/>
      <c r="G20" s="11">
        <v>391108.17</v>
      </c>
      <c r="H20" s="11"/>
      <c r="I20" s="11"/>
      <c r="J20" s="11"/>
      <c r="K20" s="11">
        <v>128100</v>
      </c>
      <c r="L20" s="11">
        <v>2970</v>
      </c>
      <c r="M20" s="11">
        <f t="shared" si="0"/>
        <v>2232992.2</v>
      </c>
      <c r="N20" s="11">
        <v>0</v>
      </c>
    </row>
    <row r="21" spans="1:14" ht="23.25">
      <c r="A21" s="1" t="s">
        <v>20</v>
      </c>
      <c r="B21" s="2" t="s">
        <v>21</v>
      </c>
      <c r="C21" s="11">
        <f>'มี.ค.'!M21</f>
        <v>1001408.45</v>
      </c>
      <c r="D21" s="11">
        <f>'มี.ค.'!N21</f>
        <v>0</v>
      </c>
      <c r="E21" s="12"/>
      <c r="F21" s="12"/>
      <c r="G21" s="12">
        <v>123290</v>
      </c>
      <c r="H21" s="12"/>
      <c r="I21" s="12"/>
      <c r="J21" s="12"/>
      <c r="K21" s="12"/>
      <c r="L21" s="12"/>
      <c r="M21" s="11">
        <f t="shared" si="0"/>
        <v>1124698.45</v>
      </c>
      <c r="N21" s="11">
        <v>0</v>
      </c>
    </row>
    <row r="22" spans="1:14" ht="23.25">
      <c r="A22" s="1" t="s">
        <v>22</v>
      </c>
      <c r="B22" s="2" t="s">
        <v>23</v>
      </c>
      <c r="C22" s="11">
        <f>'มี.ค.'!M22</f>
        <v>68096.28</v>
      </c>
      <c r="D22" s="11">
        <f>'มี.ค.'!N22</f>
        <v>0</v>
      </c>
      <c r="E22" s="11"/>
      <c r="F22" s="11"/>
      <c r="G22" s="11">
        <v>5792.06</v>
      </c>
      <c r="H22" s="11"/>
      <c r="I22" s="11"/>
      <c r="J22" s="11"/>
      <c r="K22" s="11"/>
      <c r="L22" s="11"/>
      <c r="M22" s="11">
        <f t="shared" si="0"/>
        <v>73888.34</v>
      </c>
      <c r="N22" s="11">
        <v>0</v>
      </c>
    </row>
    <row r="23" spans="1:14" ht="23.25">
      <c r="A23" s="1" t="s">
        <v>24</v>
      </c>
      <c r="B23" s="2" t="s">
        <v>25</v>
      </c>
      <c r="C23" s="11">
        <f>'มี.ค.'!M23</f>
        <v>2487000</v>
      </c>
      <c r="D23" s="11">
        <f>'มี.ค.'!N23</f>
        <v>0</v>
      </c>
      <c r="E23" s="11"/>
      <c r="F23" s="11"/>
      <c r="G23" s="11"/>
      <c r="H23" s="11"/>
      <c r="I23" s="11"/>
      <c r="J23" s="11"/>
      <c r="K23" s="11"/>
      <c r="L23" s="11"/>
      <c r="M23" s="11">
        <f t="shared" si="0"/>
        <v>2487000</v>
      </c>
      <c r="N23" s="11">
        <v>0</v>
      </c>
    </row>
    <row r="24" spans="1:14" ht="23.25">
      <c r="A24" s="1" t="s">
        <v>26</v>
      </c>
      <c r="B24" s="2" t="s">
        <v>27</v>
      </c>
      <c r="C24" s="11">
        <f>'มี.ค.'!M24</f>
        <v>4536</v>
      </c>
      <c r="D24" s="11">
        <f>'มี.ค.'!N24</f>
        <v>0</v>
      </c>
      <c r="E24" s="11"/>
      <c r="F24" s="11"/>
      <c r="G24" s="11"/>
      <c r="H24" s="11"/>
      <c r="I24" s="11"/>
      <c r="J24" s="11"/>
      <c r="K24" s="11"/>
      <c r="L24" s="11"/>
      <c r="M24" s="11">
        <f t="shared" si="0"/>
        <v>4536</v>
      </c>
      <c r="N24" s="11">
        <v>0</v>
      </c>
    </row>
    <row r="25" spans="1:14" ht="23.25">
      <c r="A25" s="1" t="s">
        <v>28</v>
      </c>
      <c r="B25" s="2" t="s">
        <v>29</v>
      </c>
      <c r="C25" s="11">
        <f>'มี.ค.'!M25</f>
        <v>0</v>
      </c>
      <c r="D25" s="11">
        <f>'มี.ค.'!N25</f>
        <v>0</v>
      </c>
      <c r="E25" s="11"/>
      <c r="F25" s="11"/>
      <c r="G25" s="11">
        <v>95000</v>
      </c>
      <c r="H25" s="11"/>
      <c r="I25" s="11"/>
      <c r="J25" s="11"/>
      <c r="K25" s="11"/>
      <c r="L25" s="11"/>
      <c r="M25" s="11">
        <f t="shared" si="0"/>
        <v>95000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'มี.ค.'!M26</f>
        <v>0</v>
      </c>
      <c r="D26" s="11">
        <f>'มี.ค.'!N26</f>
        <v>0</v>
      </c>
      <c r="E26" s="11"/>
      <c r="F26" s="11"/>
      <c r="G26" s="11">
        <v>54000</v>
      </c>
      <c r="H26" s="11"/>
      <c r="I26" s="11"/>
      <c r="J26" s="11"/>
      <c r="K26" s="11"/>
      <c r="L26" s="11"/>
      <c r="M26" s="11">
        <f t="shared" si="0"/>
        <v>54000</v>
      </c>
      <c r="N26" s="11">
        <v>0</v>
      </c>
    </row>
    <row r="27" spans="1:14" ht="23.25">
      <c r="A27" s="1" t="s">
        <v>41</v>
      </c>
      <c r="B27" s="2" t="s">
        <v>42</v>
      </c>
      <c r="C27" s="11">
        <f>'มี.ค.'!M27</f>
        <v>0</v>
      </c>
      <c r="D27" s="11">
        <f>'มี.ค.'!N27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v>0</v>
      </c>
      <c r="N27" s="11">
        <f aca="true" t="shared" si="1" ref="N27:N91">SUM(D27+F27+H27+J27+L27)-(C27+E27+G27+I27+K27)</f>
        <v>0</v>
      </c>
    </row>
    <row r="28" spans="1:14" ht="23.25">
      <c r="A28" s="1" t="s">
        <v>44</v>
      </c>
      <c r="B28" s="2" t="s">
        <v>30</v>
      </c>
      <c r="C28" s="11">
        <f>'มี.ค.'!M28</f>
        <v>0</v>
      </c>
      <c r="D28" s="11">
        <f>'มี.ค.'!N28</f>
        <v>2875247.9099999997</v>
      </c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1">
        <f t="shared" si="1"/>
        <v>2875247.9099999997</v>
      </c>
    </row>
    <row r="29" spans="1:14" ht="23.25">
      <c r="A29" s="1" t="s">
        <v>45</v>
      </c>
      <c r="B29" s="2" t="s">
        <v>43</v>
      </c>
      <c r="C29" s="11">
        <f>'มี.ค.'!M29</f>
        <v>0</v>
      </c>
      <c r="D29" s="11">
        <f>'มี.ค.'!N29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53</v>
      </c>
      <c r="B30" s="2" t="s">
        <v>31</v>
      </c>
      <c r="C30" s="11">
        <f>'มี.ค.'!M30</f>
        <v>0</v>
      </c>
      <c r="D30" s="11">
        <f>'มี.ค.'!N30</f>
        <v>0</v>
      </c>
      <c r="E30" s="11"/>
      <c r="F30" s="11"/>
      <c r="G30" s="11"/>
      <c r="H30" s="11"/>
      <c r="I30" s="11"/>
      <c r="J30" s="11"/>
      <c r="K30" s="11"/>
      <c r="L30" s="11"/>
      <c r="M30" s="11">
        <v>0</v>
      </c>
      <c r="N30" s="11">
        <f t="shared" si="1"/>
        <v>0</v>
      </c>
    </row>
    <row r="31" spans="1:14" ht="23.25">
      <c r="A31" s="1" t="s">
        <v>32</v>
      </c>
      <c r="B31" s="2" t="s">
        <v>33</v>
      </c>
      <c r="C31" s="11">
        <f>'มี.ค.'!M31</f>
        <v>0</v>
      </c>
      <c r="D31" s="11">
        <f>'มี.ค.'!N31</f>
        <v>0</v>
      </c>
      <c r="E31" s="11"/>
      <c r="F31" s="11">
        <v>140050.76</v>
      </c>
      <c r="G31" s="11"/>
      <c r="H31" s="11"/>
      <c r="I31" s="11">
        <v>140050.76</v>
      </c>
      <c r="J31" s="11"/>
      <c r="K31" s="11"/>
      <c r="L31" s="11"/>
      <c r="M31" s="11">
        <v>0</v>
      </c>
      <c r="N31" s="11">
        <f t="shared" si="1"/>
        <v>0</v>
      </c>
    </row>
    <row r="32" spans="1:14" ht="23.25">
      <c r="A32" s="1" t="s">
        <v>35</v>
      </c>
      <c r="B32" s="2" t="s">
        <v>46</v>
      </c>
      <c r="C32" s="11">
        <f>'มี.ค.'!M32</f>
        <v>0</v>
      </c>
      <c r="D32" s="11">
        <f>'มี.ค.'!N32</f>
        <v>0</v>
      </c>
      <c r="E32" s="11"/>
      <c r="F32" s="11"/>
      <c r="G32" s="11"/>
      <c r="H32" s="11"/>
      <c r="I32" s="11"/>
      <c r="J32" s="11"/>
      <c r="K32" s="11"/>
      <c r="L32" s="11"/>
      <c r="M32" s="11"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'มี.ค.'!M33</f>
        <v>0</v>
      </c>
      <c r="D33" s="11">
        <f>'มี.ค.'!N33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f t="shared" si="0"/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'มี.ค.'!M34</f>
        <v>0</v>
      </c>
      <c r="D34" s="11">
        <f>'มี.ค.'!N34</f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'มี.ค.'!M35</f>
        <v>0</v>
      </c>
      <c r="D35" s="11">
        <f>'มี.ค.'!N35</f>
        <v>9198.22</v>
      </c>
      <c r="E35" s="11"/>
      <c r="F35" s="11"/>
      <c r="G35" s="11">
        <v>9198.22</v>
      </c>
      <c r="H35" s="11">
        <v>5977.58</v>
      </c>
      <c r="I35" s="11"/>
      <c r="J35" s="11"/>
      <c r="K35" s="11"/>
      <c r="L35" s="11"/>
      <c r="M35" s="11">
        <v>0</v>
      </c>
      <c r="N35" s="11">
        <f t="shared" si="1"/>
        <v>5977.58</v>
      </c>
    </row>
    <row r="36" spans="1:14" ht="23.25">
      <c r="A36" s="6" t="s">
        <v>72</v>
      </c>
      <c r="B36" s="7">
        <v>903</v>
      </c>
      <c r="C36" s="11">
        <f>'มี.ค.'!M36</f>
        <v>0</v>
      </c>
      <c r="D36" s="11">
        <f>'มี.ค.'!N36</f>
        <v>460051.5</v>
      </c>
      <c r="E36" s="11"/>
      <c r="F36" s="11">
        <v>191635</v>
      </c>
      <c r="G36" s="11"/>
      <c r="H36" s="11"/>
      <c r="I36" s="11"/>
      <c r="J36" s="11"/>
      <c r="K36" s="11"/>
      <c r="L36" s="11"/>
      <c r="M36" s="11">
        <v>0</v>
      </c>
      <c r="N36" s="11">
        <f t="shared" si="1"/>
        <v>651686.5</v>
      </c>
    </row>
    <row r="37" spans="1:14" ht="23.25">
      <c r="A37" s="1" t="s">
        <v>73</v>
      </c>
      <c r="B37" s="2">
        <v>904</v>
      </c>
      <c r="C37" s="11">
        <f>'มี.ค.'!M37</f>
        <v>1690</v>
      </c>
      <c r="D37" s="11">
        <f>'มี.ค.'!N37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1690</v>
      </c>
      <c r="N37" s="11">
        <v>0</v>
      </c>
    </row>
    <row r="38" spans="1:14" ht="23.25">
      <c r="A38" s="1" t="s">
        <v>74</v>
      </c>
      <c r="B38" s="2" t="s">
        <v>49</v>
      </c>
      <c r="C38" s="11">
        <f>'มี.ค.'!M38</f>
        <v>0</v>
      </c>
      <c r="D38" s="11">
        <f>'มี.ค.'!N38</f>
        <v>2484.7</v>
      </c>
      <c r="E38" s="11"/>
      <c r="F38" s="11">
        <v>1384.75</v>
      </c>
      <c r="G38" s="11"/>
      <c r="H38" s="11"/>
      <c r="I38" s="11"/>
      <c r="J38" s="11"/>
      <c r="K38" s="11"/>
      <c r="L38" s="11"/>
      <c r="M38" s="11">
        <v>0</v>
      </c>
      <c r="N38" s="11">
        <f t="shared" si="1"/>
        <v>3869.45</v>
      </c>
    </row>
    <row r="39" spans="1:14" ht="23.25">
      <c r="A39" s="1" t="s">
        <v>75</v>
      </c>
      <c r="B39" s="2" t="s">
        <v>50</v>
      </c>
      <c r="C39" s="11">
        <f>'มี.ค.'!M39</f>
        <v>0</v>
      </c>
      <c r="D39" s="11">
        <f>'มี.ค.'!N39</f>
        <v>2981.64</v>
      </c>
      <c r="E39" s="11"/>
      <c r="F39" s="11">
        <v>1661.7</v>
      </c>
      <c r="G39" s="11"/>
      <c r="H39" s="11"/>
      <c r="I39" s="11"/>
      <c r="J39" s="11"/>
      <c r="K39" s="11"/>
      <c r="L39" s="11"/>
      <c r="M39" s="11">
        <v>0</v>
      </c>
      <c r="N39" s="11">
        <f t="shared" si="1"/>
        <v>4643.34</v>
      </c>
    </row>
    <row r="40" spans="1:14" ht="23.25">
      <c r="A40" s="1" t="s">
        <v>54</v>
      </c>
      <c r="B40" s="2">
        <v>900</v>
      </c>
      <c r="C40" s="11">
        <f>'มี.ค.'!M40</f>
        <v>0</v>
      </c>
      <c r="D40" s="11">
        <f>'มี.ค.'!N40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'มี.ค.'!M41</f>
        <v>0</v>
      </c>
      <c r="D41" s="11">
        <f>'มี.ค.'!N41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v>0</v>
      </c>
      <c r="N41" s="11">
        <f t="shared" si="1"/>
        <v>0</v>
      </c>
    </row>
    <row r="42" spans="1:14" ht="23.25">
      <c r="A42" s="1" t="s">
        <v>56</v>
      </c>
      <c r="B42" s="2">
        <v>900</v>
      </c>
      <c r="C42" s="11">
        <f>'มี.ค.'!M42</f>
        <v>0</v>
      </c>
      <c r="D42" s="11">
        <f>'มี.ค.'!N42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'มี.ค.'!M43</f>
        <v>0</v>
      </c>
      <c r="D43" s="11">
        <f>'มี.ค.'!N43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'มี.ค.'!M44</f>
        <v>101340</v>
      </c>
      <c r="D44" s="11">
        <f>'มี.ค.'!N44</f>
        <v>0</v>
      </c>
      <c r="E44" s="11"/>
      <c r="F44" s="11"/>
      <c r="G44" s="11">
        <v>33780</v>
      </c>
      <c r="H44" s="11"/>
      <c r="I44" s="11"/>
      <c r="J44" s="11"/>
      <c r="K44" s="11"/>
      <c r="L44" s="11"/>
      <c r="M44" s="11">
        <f t="shared" si="0"/>
        <v>135120</v>
      </c>
      <c r="N44" s="11">
        <v>0</v>
      </c>
    </row>
    <row r="45" spans="1:14" ht="23.25">
      <c r="A45" s="6" t="s">
        <v>58</v>
      </c>
      <c r="B45" s="2">
        <v>900</v>
      </c>
      <c r="C45" s="11">
        <f>'มี.ค.'!M45</f>
        <v>25380</v>
      </c>
      <c r="D45" s="11">
        <f>'มี.ค.'!N45</f>
        <v>0</v>
      </c>
      <c r="E45" s="11"/>
      <c r="F45" s="11"/>
      <c r="G45" s="11">
        <v>8460</v>
      </c>
      <c r="H45" s="11"/>
      <c r="I45" s="11"/>
      <c r="J45" s="11"/>
      <c r="K45" s="11"/>
      <c r="L45" s="11"/>
      <c r="M45" s="11">
        <f t="shared" si="0"/>
        <v>33840</v>
      </c>
      <c r="N45" s="11">
        <v>0</v>
      </c>
    </row>
    <row r="46" spans="1:14" ht="23.25">
      <c r="A46" s="1" t="s">
        <v>158</v>
      </c>
      <c r="B46" s="2">
        <v>900</v>
      </c>
      <c r="C46" s="11">
        <f>'มี.ค.'!M46</f>
        <v>4369</v>
      </c>
      <c r="D46" s="11">
        <f>'มี.ค.'!N46</f>
        <v>0</v>
      </c>
      <c r="E46" s="11"/>
      <c r="F46" s="11"/>
      <c r="G46" s="11">
        <v>2150</v>
      </c>
      <c r="H46" s="11"/>
      <c r="I46" s="11"/>
      <c r="J46" s="11"/>
      <c r="K46" s="11"/>
      <c r="L46" s="11"/>
      <c r="M46" s="11">
        <f t="shared" si="0"/>
        <v>6519</v>
      </c>
      <c r="N46" s="11">
        <v>0</v>
      </c>
    </row>
    <row r="47" spans="1:14" ht="23.25">
      <c r="A47" s="1" t="s">
        <v>166</v>
      </c>
      <c r="B47" s="2">
        <v>900</v>
      </c>
      <c r="C47" s="11">
        <f>'มี.ค.'!M47</f>
        <v>0</v>
      </c>
      <c r="D47" s="11">
        <f>'มี.ค.'!N47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'มี.ค.'!M48</f>
        <v>0</v>
      </c>
      <c r="D48" s="11">
        <f>'มี.ค.'!N48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v>0</v>
      </c>
      <c r="N48" s="11">
        <f t="shared" si="1"/>
        <v>0</v>
      </c>
    </row>
    <row r="49" spans="1:15" ht="23.25">
      <c r="A49" s="1" t="s">
        <v>61</v>
      </c>
      <c r="B49" s="2" t="s">
        <v>34</v>
      </c>
      <c r="C49" s="11">
        <f>'มี.ค.'!M49</f>
        <v>0</v>
      </c>
      <c r="D49" s="11">
        <f>'มี.ค.'!N49</f>
        <v>1049854</v>
      </c>
      <c r="E49" s="11"/>
      <c r="F49" s="11">
        <v>73000</v>
      </c>
      <c r="G49" s="11"/>
      <c r="H49" s="11"/>
      <c r="I49" s="11"/>
      <c r="J49" s="11"/>
      <c r="K49" s="11"/>
      <c r="L49" s="11"/>
      <c r="M49" s="11">
        <v>0</v>
      </c>
      <c r="N49" s="11">
        <f t="shared" si="1"/>
        <v>1122854</v>
      </c>
      <c r="O49" s="52">
        <f>N49+N50</f>
        <v>1137396.77</v>
      </c>
    </row>
    <row r="50" spans="1:14" ht="23.25">
      <c r="A50" s="1" t="s">
        <v>62</v>
      </c>
      <c r="B50" s="2" t="s">
        <v>34</v>
      </c>
      <c r="C50" s="11">
        <f>'มี.ค.'!M50</f>
        <v>0</v>
      </c>
      <c r="D50" s="11">
        <f>'มี.ค.'!N50</f>
        <v>14542.77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14542.77</v>
      </c>
    </row>
    <row r="51" spans="1:14" ht="23.25">
      <c r="A51" s="1" t="s">
        <v>144</v>
      </c>
      <c r="B51" s="2">
        <v>900</v>
      </c>
      <c r="C51" s="11">
        <f>'มี.ค.'!M51</f>
        <v>0</v>
      </c>
      <c r="D51" s="11">
        <f>'มี.ค.'!N51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v>0</v>
      </c>
      <c r="N51" s="11">
        <f t="shared" si="1"/>
        <v>0</v>
      </c>
    </row>
    <row r="52" spans="1:14" ht="23.25">
      <c r="A52" s="1" t="s">
        <v>64</v>
      </c>
      <c r="B52" s="2">
        <v>900</v>
      </c>
      <c r="C52" s="11">
        <f>'มี.ค.'!M52</f>
        <v>0</v>
      </c>
      <c r="D52" s="11">
        <f>'มี.ค.'!N52</f>
        <v>3500</v>
      </c>
      <c r="E52" s="11"/>
      <c r="F52" s="11"/>
      <c r="G52" s="11"/>
      <c r="H52" s="11"/>
      <c r="I52" s="11"/>
      <c r="J52" s="11"/>
      <c r="K52" s="11"/>
      <c r="L52" s="11"/>
      <c r="M52" s="11">
        <v>0</v>
      </c>
      <c r="N52" s="11">
        <f t="shared" si="1"/>
        <v>3500</v>
      </c>
    </row>
    <row r="53" spans="1:14" ht="23.25">
      <c r="A53" s="1" t="s">
        <v>65</v>
      </c>
      <c r="B53" s="2">
        <v>900</v>
      </c>
      <c r="C53" s="11">
        <f>'มี.ค.'!M53</f>
        <v>0</v>
      </c>
      <c r="D53" s="11">
        <f>'มี.ค.'!N53</f>
        <v>1000</v>
      </c>
      <c r="E53" s="11"/>
      <c r="F53" s="11">
        <v>1000</v>
      </c>
      <c r="G53" s="11">
        <v>1000</v>
      </c>
      <c r="H53" s="11"/>
      <c r="I53" s="11"/>
      <c r="J53" s="11"/>
      <c r="K53" s="11"/>
      <c r="L53" s="11"/>
      <c r="M53" s="11">
        <v>0</v>
      </c>
      <c r="N53" s="11">
        <f t="shared" si="1"/>
        <v>1000</v>
      </c>
    </row>
    <row r="54" spans="1:14" ht="23.25">
      <c r="A54" s="1" t="s">
        <v>66</v>
      </c>
      <c r="B54" s="2">
        <v>900</v>
      </c>
      <c r="C54" s="11">
        <f>'มี.ค.'!M54</f>
        <v>0</v>
      </c>
      <c r="D54" s="11">
        <f>'มี.ค.'!N54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f>'มี.ค.'!M55</f>
        <v>0</v>
      </c>
      <c r="D55" s="11">
        <f>'มี.ค.'!N55</f>
        <v>20000</v>
      </c>
      <c r="E55" s="11"/>
      <c r="F55" s="11"/>
      <c r="G55" s="11"/>
      <c r="H55" s="11"/>
      <c r="I55" s="11"/>
      <c r="J55" s="11"/>
      <c r="K55" s="11"/>
      <c r="L55" s="11"/>
      <c r="M55" s="11">
        <v>0</v>
      </c>
      <c r="N55" s="11">
        <f t="shared" si="1"/>
        <v>20000</v>
      </c>
    </row>
    <row r="56" spans="1:14" ht="23.25">
      <c r="A56" s="1" t="s">
        <v>142</v>
      </c>
      <c r="B56" s="2" t="s">
        <v>34</v>
      </c>
      <c r="C56" s="11">
        <f>'มี.ค.'!M56</f>
        <v>0</v>
      </c>
      <c r="D56" s="11">
        <f>'มี.ค.'!N56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f t="shared" si="0"/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'มี.ค.'!M57</f>
        <v>0</v>
      </c>
      <c r="D57" s="11">
        <f>'มี.ค.'!N57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292</v>
      </c>
      <c r="B58" s="2" t="s">
        <v>34</v>
      </c>
      <c r="C58" s="11">
        <f>'มี.ค.'!M58</f>
        <v>0</v>
      </c>
      <c r="D58" s="11">
        <f>'มี.ค.'!N58</f>
        <v>295</v>
      </c>
      <c r="E58" s="12"/>
      <c r="F58" s="12"/>
      <c r="G58" s="12"/>
      <c r="H58" s="12"/>
      <c r="I58" s="12"/>
      <c r="J58" s="12"/>
      <c r="K58" s="12"/>
      <c r="L58" s="12"/>
      <c r="M58" s="11">
        <v>0</v>
      </c>
      <c r="N58" s="11">
        <f t="shared" si="1"/>
        <v>295</v>
      </c>
    </row>
    <row r="59" spans="1:14" ht="23.25">
      <c r="A59" s="1" t="s">
        <v>70</v>
      </c>
      <c r="B59" s="2" t="s">
        <v>34</v>
      </c>
      <c r="C59" s="11">
        <f>'มี.ค.'!M59</f>
        <v>0</v>
      </c>
      <c r="D59" s="11">
        <f>'มี.ค.'!N59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'มี.ค.'!M60</f>
        <v>0</v>
      </c>
      <c r="D60" s="11">
        <f>'มี.ค.'!N60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f>'มี.ค.'!M61</f>
        <v>0</v>
      </c>
      <c r="D61" s="11">
        <f>'มี.ค.'!N61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'มี.ค.'!M62</f>
        <v>0</v>
      </c>
      <c r="D62" s="11">
        <f>'มี.ค.'!N62</f>
        <v>0</v>
      </c>
      <c r="E62" s="11"/>
      <c r="F62" s="11"/>
      <c r="G62" s="11"/>
      <c r="H62" s="11"/>
      <c r="I62" s="11"/>
      <c r="J62" s="11"/>
      <c r="K62" s="11"/>
      <c r="L62" s="11"/>
      <c r="M62" s="11">
        <f t="shared" si="0"/>
        <v>0</v>
      </c>
      <c r="N62" s="11">
        <f t="shared" si="1"/>
        <v>0</v>
      </c>
    </row>
    <row r="63" spans="1:14" ht="23.25">
      <c r="A63" s="1" t="s">
        <v>278</v>
      </c>
      <c r="B63" s="2" t="s">
        <v>167</v>
      </c>
      <c r="C63" s="11">
        <v>0</v>
      </c>
      <c r="D63" s="11">
        <f>'มี.ค.'!N63</f>
        <v>503066</v>
      </c>
      <c r="E63" s="11"/>
      <c r="F63" s="11"/>
      <c r="G63" s="11"/>
      <c r="H63" s="11"/>
      <c r="I63" s="11"/>
      <c r="J63" s="11"/>
      <c r="K63" s="11"/>
      <c r="L63" s="11"/>
      <c r="M63" s="11">
        <v>0</v>
      </c>
      <c r="N63" s="11">
        <f t="shared" si="1"/>
        <v>503066</v>
      </c>
    </row>
    <row r="64" spans="1:14" ht="23.25">
      <c r="A64" s="1" t="s">
        <v>277</v>
      </c>
      <c r="B64" s="2" t="s">
        <v>163</v>
      </c>
      <c r="C64" s="11">
        <f>'มี.ค.'!M64</f>
        <v>0</v>
      </c>
      <c r="D64" s="11">
        <f>'มี.ค.'!N64</f>
        <v>952500</v>
      </c>
      <c r="E64" s="11"/>
      <c r="F64" s="11"/>
      <c r="G64" s="11">
        <f>311000+4500</f>
        <v>315500</v>
      </c>
      <c r="H64" s="11"/>
      <c r="I64" s="11"/>
      <c r="J64" s="11"/>
      <c r="K64" s="11"/>
      <c r="L64" s="11"/>
      <c r="M64" s="11">
        <v>0</v>
      </c>
      <c r="N64" s="11">
        <f t="shared" si="1"/>
        <v>637000</v>
      </c>
    </row>
    <row r="65" spans="1:14" ht="23.25">
      <c r="A65" s="1" t="s">
        <v>297</v>
      </c>
      <c r="B65" s="2" t="s">
        <v>167</v>
      </c>
      <c r="C65" s="11">
        <f>'มี.ค.'!M65</f>
        <v>0</v>
      </c>
      <c r="D65" s="11">
        <f>'มี.ค.'!N65</f>
        <v>0</v>
      </c>
      <c r="E65" s="11"/>
      <c r="F65" s="11">
        <v>337500</v>
      </c>
      <c r="G65" s="11">
        <f>66500</f>
        <v>66500</v>
      </c>
      <c r="H65" s="11"/>
      <c r="I65" s="11"/>
      <c r="J65" s="11"/>
      <c r="K65" s="11"/>
      <c r="L65" s="11"/>
      <c r="M65" s="11">
        <v>0</v>
      </c>
      <c r="N65" s="11">
        <f t="shared" si="1"/>
        <v>271000</v>
      </c>
    </row>
    <row r="66" spans="1:14" ht="23.25">
      <c r="A66" s="1" t="s">
        <v>120</v>
      </c>
      <c r="B66" s="2" t="s">
        <v>34</v>
      </c>
      <c r="C66" s="11">
        <f>'มี.ค.'!M66</f>
        <v>0</v>
      </c>
      <c r="D66" s="11">
        <f>'มี.ค.'!N66</f>
        <v>0</v>
      </c>
      <c r="E66" s="11"/>
      <c r="F66" s="11"/>
      <c r="G66" s="11">
        <v>45381</v>
      </c>
      <c r="H66" s="11">
        <v>45381</v>
      </c>
      <c r="I66" s="11"/>
      <c r="J66" s="11"/>
      <c r="K66" s="11"/>
      <c r="L66" s="11"/>
      <c r="M66" s="11"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f>'มี.ค.'!M67</f>
        <v>0</v>
      </c>
      <c r="D67" s="11">
        <f>'มี.ค.'!N67</f>
        <v>0</v>
      </c>
      <c r="E67" s="11"/>
      <c r="F67" s="11"/>
      <c r="G67" s="11">
        <v>45800</v>
      </c>
      <c r="H67" s="11">
        <v>45800</v>
      </c>
      <c r="I67" s="11"/>
      <c r="J67" s="11"/>
      <c r="K67" s="11"/>
      <c r="L67" s="11"/>
      <c r="M67" s="11">
        <f t="shared" si="0"/>
        <v>0</v>
      </c>
      <c r="N67" s="11">
        <v>0</v>
      </c>
    </row>
    <row r="68" spans="1:14" ht="23.25">
      <c r="A68" s="1" t="s">
        <v>121</v>
      </c>
      <c r="B68" s="40" t="s">
        <v>34</v>
      </c>
      <c r="C68" s="11">
        <f>'มี.ค.'!M68</f>
        <v>0</v>
      </c>
      <c r="D68" s="11">
        <f>'มี.ค.'!N68</f>
        <v>0</v>
      </c>
      <c r="E68" s="11"/>
      <c r="F68" s="11"/>
      <c r="G68" s="11"/>
      <c r="H68" s="11"/>
      <c r="I68" s="11"/>
      <c r="J68" s="11"/>
      <c r="K68" s="11"/>
      <c r="L68" s="11"/>
      <c r="M68" s="11">
        <v>0</v>
      </c>
      <c r="N68" s="11">
        <f t="shared" si="1"/>
        <v>0</v>
      </c>
    </row>
    <row r="69" spans="1:14" ht="23.25">
      <c r="A69" s="51" t="s">
        <v>94</v>
      </c>
      <c r="B69" s="40" t="s">
        <v>79</v>
      </c>
      <c r="C69" s="11">
        <f>'มี.ค.'!M69</f>
        <v>0</v>
      </c>
      <c r="D69" s="11">
        <f>'มี.ค.'!N69</f>
        <v>25924</v>
      </c>
      <c r="E69" s="11"/>
      <c r="F69" s="11"/>
      <c r="G69" s="11"/>
      <c r="H69" s="11"/>
      <c r="I69" s="11"/>
      <c r="J69" s="11"/>
      <c r="K69" s="11"/>
      <c r="L69" s="11"/>
      <c r="M69" s="11">
        <v>0</v>
      </c>
      <c r="N69" s="11">
        <f t="shared" si="1"/>
        <v>25924</v>
      </c>
    </row>
    <row r="70" spans="1:14" ht="23.25">
      <c r="A70" s="51" t="s">
        <v>95</v>
      </c>
      <c r="B70" s="40" t="s">
        <v>80</v>
      </c>
      <c r="C70" s="11">
        <f>'มี.ค.'!M70</f>
        <v>0</v>
      </c>
      <c r="D70" s="11">
        <f>'มี.ค.'!N70</f>
        <v>48602.66</v>
      </c>
      <c r="E70" s="11"/>
      <c r="F70" s="11"/>
      <c r="G70" s="11"/>
      <c r="H70" s="11"/>
      <c r="I70" s="11"/>
      <c r="J70" s="11">
        <v>25005.55</v>
      </c>
      <c r="K70" s="11"/>
      <c r="L70" s="11"/>
      <c r="M70" s="11">
        <v>0</v>
      </c>
      <c r="N70" s="11">
        <f t="shared" si="1"/>
        <v>73608.21</v>
      </c>
    </row>
    <row r="71" spans="1:14" ht="23.25">
      <c r="A71" s="51" t="s">
        <v>96</v>
      </c>
      <c r="B71" s="40" t="s">
        <v>81</v>
      </c>
      <c r="C71" s="11">
        <f>'มี.ค.'!M71</f>
        <v>0</v>
      </c>
      <c r="D71" s="11">
        <f>'มี.ค.'!N71</f>
        <v>6053</v>
      </c>
      <c r="E71" s="11"/>
      <c r="F71" s="11"/>
      <c r="G71" s="11"/>
      <c r="H71" s="11"/>
      <c r="I71" s="11"/>
      <c r="J71" s="11"/>
      <c r="K71" s="11"/>
      <c r="L71" s="11"/>
      <c r="M71" s="11">
        <v>0</v>
      </c>
      <c r="N71" s="11">
        <f t="shared" si="1"/>
        <v>6053</v>
      </c>
    </row>
    <row r="72" spans="1:14" ht="23.25">
      <c r="A72" s="51" t="s">
        <v>164</v>
      </c>
      <c r="B72" s="40" t="s">
        <v>162</v>
      </c>
      <c r="C72" s="11">
        <f>'มี.ค.'!M72</f>
        <v>0</v>
      </c>
      <c r="D72" s="11">
        <f>'มี.ค.'!N72</f>
        <v>24900</v>
      </c>
      <c r="E72" s="11"/>
      <c r="F72" s="11"/>
      <c r="G72" s="11"/>
      <c r="H72" s="11"/>
      <c r="I72" s="11"/>
      <c r="J72" s="11">
        <v>2040</v>
      </c>
      <c r="K72" s="11"/>
      <c r="L72" s="11"/>
      <c r="M72" s="11">
        <v>0</v>
      </c>
      <c r="N72" s="11">
        <f t="shared" si="1"/>
        <v>26940</v>
      </c>
    </row>
    <row r="73" spans="1:14" ht="23.25">
      <c r="A73" s="51" t="s">
        <v>97</v>
      </c>
      <c r="B73" s="40" t="s">
        <v>83</v>
      </c>
      <c r="C73" s="11">
        <f>'มี.ค.'!M73</f>
        <v>0</v>
      </c>
      <c r="D73" s="11">
        <f>'มี.ค.'!N73</f>
        <v>2372524.7199999997</v>
      </c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1">
        <f t="shared" si="1"/>
        <v>2372524.7199999997</v>
      </c>
    </row>
    <row r="74" spans="1:14" ht="23.25">
      <c r="A74" s="51" t="s">
        <v>125</v>
      </c>
      <c r="B74" s="40" t="s">
        <v>160</v>
      </c>
      <c r="C74" s="11">
        <f>'มี.ค.'!M74</f>
        <v>0</v>
      </c>
      <c r="D74" s="11">
        <f>'มี.ค.'!N74</f>
        <v>991808.29</v>
      </c>
      <c r="E74" s="11"/>
      <c r="F74" s="11"/>
      <c r="G74" s="11"/>
      <c r="H74" s="11"/>
      <c r="I74" s="11"/>
      <c r="J74" s="11"/>
      <c r="K74" s="11"/>
      <c r="L74" s="11"/>
      <c r="M74" s="11">
        <v>0</v>
      </c>
      <c r="N74" s="11">
        <f t="shared" si="1"/>
        <v>991808.29</v>
      </c>
    </row>
    <row r="75" spans="1:14" ht="23.25">
      <c r="A75" s="51" t="s">
        <v>123</v>
      </c>
      <c r="B75" s="40" t="s">
        <v>161</v>
      </c>
      <c r="C75" s="11">
        <f>'มี.ค.'!M75</f>
        <v>0</v>
      </c>
      <c r="D75" s="11">
        <f>'มี.ค.'!N75</f>
        <v>76026</v>
      </c>
      <c r="E75" s="11"/>
      <c r="F75" s="11"/>
      <c r="G75" s="11"/>
      <c r="H75" s="11"/>
      <c r="I75" s="11"/>
      <c r="J75" s="11">
        <v>17232</v>
      </c>
      <c r="K75" s="11"/>
      <c r="L75" s="11"/>
      <c r="M75" s="11">
        <v>0</v>
      </c>
      <c r="N75" s="11">
        <f t="shared" si="1"/>
        <v>93258</v>
      </c>
    </row>
    <row r="76" spans="1:14" ht="23.25">
      <c r="A76" s="51" t="s">
        <v>98</v>
      </c>
      <c r="B76" s="40" t="s">
        <v>85</v>
      </c>
      <c r="C76" s="11">
        <f>'มี.ค.'!M76</f>
        <v>0</v>
      </c>
      <c r="D76" s="11">
        <f>'มี.ค.'!N76</f>
        <v>557619.89</v>
      </c>
      <c r="E76" s="11"/>
      <c r="F76" s="11"/>
      <c r="G76" s="11"/>
      <c r="H76" s="11"/>
      <c r="I76" s="11"/>
      <c r="J76" s="11">
        <v>24.25</v>
      </c>
      <c r="K76" s="11"/>
      <c r="L76" s="11"/>
      <c r="M76" s="11">
        <v>0</v>
      </c>
      <c r="N76" s="11">
        <f t="shared" si="1"/>
        <v>557644.14</v>
      </c>
    </row>
    <row r="77" spans="1:14" ht="23.25">
      <c r="A77" s="51" t="s">
        <v>99</v>
      </c>
      <c r="B77" s="40" t="s">
        <v>86</v>
      </c>
      <c r="C77" s="11">
        <f>'มี.ค.'!M77</f>
        <v>0</v>
      </c>
      <c r="D77" s="11">
        <f>'มี.ค.'!N77</f>
        <v>1473156.76</v>
      </c>
      <c r="E77" s="11"/>
      <c r="F77" s="11"/>
      <c r="G77" s="11"/>
      <c r="H77" s="11"/>
      <c r="I77" s="11"/>
      <c r="J77" s="11"/>
      <c r="K77" s="11"/>
      <c r="L77" s="11"/>
      <c r="M77" s="11">
        <v>0</v>
      </c>
      <c r="N77" s="11">
        <f t="shared" si="1"/>
        <v>1473156.76</v>
      </c>
    </row>
    <row r="78" spans="1:14" ht="23.25">
      <c r="A78" s="51" t="s">
        <v>100</v>
      </c>
      <c r="B78" s="40" t="s">
        <v>87</v>
      </c>
      <c r="C78" s="11">
        <f>'มี.ค.'!M78</f>
        <v>0</v>
      </c>
      <c r="D78" s="11">
        <f>'มี.ค.'!N78</f>
        <v>7068.06</v>
      </c>
      <c r="E78" s="11"/>
      <c r="F78" s="11"/>
      <c r="G78" s="11"/>
      <c r="H78" s="11"/>
      <c r="I78" s="11"/>
      <c r="J78" s="11">
        <v>13862.96</v>
      </c>
      <c r="K78" s="11"/>
      <c r="L78" s="11"/>
      <c r="M78" s="11">
        <v>0</v>
      </c>
      <c r="N78" s="11">
        <f t="shared" si="1"/>
        <v>20931.02</v>
      </c>
    </row>
    <row r="79" spans="1:14" ht="23.25">
      <c r="A79" s="51" t="s">
        <v>293</v>
      </c>
      <c r="B79" s="40" t="s">
        <v>87</v>
      </c>
      <c r="C79" s="11">
        <f>'มี.ค.'!M79</f>
        <v>0</v>
      </c>
      <c r="D79" s="11">
        <f>'มี.ค.'!N79</f>
        <v>24528.6</v>
      </c>
      <c r="E79" s="39"/>
      <c r="F79" s="39"/>
      <c r="G79" s="11"/>
      <c r="H79" s="11"/>
      <c r="I79" s="11"/>
      <c r="J79" s="11"/>
      <c r="K79" s="11"/>
      <c r="L79" s="11"/>
      <c r="M79" s="11">
        <v>0</v>
      </c>
      <c r="N79" s="11">
        <f t="shared" si="1"/>
        <v>24528.6</v>
      </c>
    </row>
    <row r="80" spans="1:14" ht="23.25">
      <c r="A80" s="51" t="s">
        <v>280</v>
      </c>
      <c r="B80" s="40" t="s">
        <v>88</v>
      </c>
      <c r="C80" s="11">
        <f>'มี.ค.'!M80</f>
        <v>0</v>
      </c>
      <c r="D80" s="11">
        <f>'มี.ค.'!N80</f>
        <v>2.91</v>
      </c>
      <c r="E80" s="39"/>
      <c r="F80" s="39"/>
      <c r="G80" s="11"/>
      <c r="H80" s="11"/>
      <c r="I80" s="11"/>
      <c r="J80" s="11"/>
      <c r="K80" s="11"/>
      <c r="L80" s="11"/>
      <c r="M80" s="11">
        <v>0</v>
      </c>
      <c r="N80" s="11">
        <f>SUM(D80+F80+H80+J80+L80)-(C80+E80+G80+I80+K80)</f>
        <v>2.91</v>
      </c>
    </row>
    <row r="81" spans="1:14" ht="23.25">
      <c r="A81" s="51" t="s">
        <v>124</v>
      </c>
      <c r="B81" s="40" t="s">
        <v>89</v>
      </c>
      <c r="C81" s="11">
        <f>'มี.ค.'!M81</f>
        <v>0</v>
      </c>
      <c r="D81" s="11">
        <f>'มี.ค.'!N81</f>
        <v>233901</v>
      </c>
      <c r="E81" s="39"/>
      <c r="F81" s="39"/>
      <c r="G81" s="11"/>
      <c r="H81" s="11"/>
      <c r="I81" s="11"/>
      <c r="J81" s="11">
        <v>63646</v>
      </c>
      <c r="K81" s="11"/>
      <c r="L81" s="11"/>
      <c r="M81" s="11">
        <v>0</v>
      </c>
      <c r="N81" s="11">
        <f t="shared" si="1"/>
        <v>297547</v>
      </c>
    </row>
    <row r="82" spans="1:14" ht="23.25">
      <c r="A82" s="51" t="s">
        <v>132</v>
      </c>
      <c r="B82" s="40" t="s">
        <v>133</v>
      </c>
      <c r="C82" s="11">
        <f>'มี.ค.'!M82</f>
        <v>0</v>
      </c>
      <c r="D82" s="11">
        <f>'มี.ค.'!N82</f>
        <v>5000</v>
      </c>
      <c r="E82" s="39"/>
      <c r="F82" s="39"/>
      <c r="G82" s="11"/>
      <c r="H82" s="11"/>
      <c r="I82" s="11"/>
      <c r="J82" s="11"/>
      <c r="K82" s="11"/>
      <c r="L82" s="11"/>
      <c r="M82" s="11">
        <v>0</v>
      </c>
      <c r="N82" s="11">
        <f t="shared" si="1"/>
        <v>5000</v>
      </c>
    </row>
    <row r="83" spans="1:14" ht="23.25">
      <c r="A83" s="51" t="s">
        <v>294</v>
      </c>
      <c r="B83" s="40" t="s">
        <v>90</v>
      </c>
      <c r="C83" s="11">
        <f>'มี.ค.'!M83</f>
        <v>0</v>
      </c>
      <c r="D83" s="11">
        <f>'มี.ค.'!N83</f>
        <v>11860.33</v>
      </c>
      <c r="E83" s="39"/>
      <c r="F83" s="39"/>
      <c r="G83" s="11"/>
      <c r="H83" s="11"/>
      <c r="I83" s="11"/>
      <c r="J83" s="11"/>
      <c r="K83" s="11"/>
      <c r="L83" s="11"/>
      <c r="M83" s="11">
        <v>0</v>
      </c>
      <c r="N83" s="11">
        <f t="shared" si="1"/>
        <v>11860.33</v>
      </c>
    </row>
    <row r="84" spans="1:14" ht="23.25">
      <c r="A84" s="51" t="s">
        <v>295</v>
      </c>
      <c r="B84" s="40" t="s">
        <v>91</v>
      </c>
      <c r="C84" s="11">
        <f>'มี.ค.'!M84</f>
        <v>0</v>
      </c>
      <c r="D84" s="11">
        <f>'มี.ค.'!N84</f>
        <v>7000</v>
      </c>
      <c r="E84" s="39"/>
      <c r="F84" s="39"/>
      <c r="G84" s="11"/>
      <c r="H84" s="11"/>
      <c r="I84" s="11"/>
      <c r="J84" s="11"/>
      <c r="K84" s="11"/>
      <c r="L84" s="11"/>
      <c r="M84" s="11">
        <v>0</v>
      </c>
      <c r="N84" s="11">
        <f t="shared" si="1"/>
        <v>7000</v>
      </c>
    </row>
    <row r="85" spans="1:14" ht="23.25">
      <c r="A85" s="51" t="s">
        <v>104</v>
      </c>
      <c r="B85" s="40" t="s">
        <v>92</v>
      </c>
      <c r="C85" s="11">
        <f>'มี.ค.'!M85</f>
        <v>0</v>
      </c>
      <c r="D85" s="11">
        <f>'มี.ค.'!N85</f>
        <v>9820</v>
      </c>
      <c r="E85" s="39"/>
      <c r="F85" s="39"/>
      <c r="G85" s="11"/>
      <c r="H85" s="11"/>
      <c r="I85" s="11"/>
      <c r="J85" s="11">
        <v>18240</v>
      </c>
      <c r="K85" s="11"/>
      <c r="L85" s="11"/>
      <c r="M85" s="11">
        <v>0</v>
      </c>
      <c r="N85" s="11">
        <f>SUM(D85+F85+H85+J85+L85)-(C85+E85+G85+I85+K85)</f>
        <v>28060</v>
      </c>
    </row>
    <row r="86" spans="1:14" ht="23.25">
      <c r="A86" s="51" t="s">
        <v>105</v>
      </c>
      <c r="B86" s="40" t="s">
        <v>93</v>
      </c>
      <c r="C86" s="11">
        <f>'มี.ค.'!M86</f>
        <v>0</v>
      </c>
      <c r="D86" s="11">
        <f>'มี.ค.'!N86</f>
        <v>10264971</v>
      </c>
      <c r="E86" s="39"/>
      <c r="F86" s="39"/>
      <c r="G86" s="39"/>
      <c r="H86" s="39"/>
      <c r="I86" s="39"/>
      <c r="J86" s="39"/>
      <c r="K86" s="39"/>
      <c r="L86" s="39"/>
      <c r="M86" s="11">
        <v>0</v>
      </c>
      <c r="N86" s="11">
        <f t="shared" si="1"/>
        <v>10264971</v>
      </c>
    </row>
    <row r="87" spans="1:14" ht="23.25">
      <c r="A87" s="1" t="s">
        <v>106</v>
      </c>
      <c r="B87" s="40" t="s">
        <v>133</v>
      </c>
      <c r="C87" s="11">
        <f>'มี.ค.'!M87</f>
        <v>0</v>
      </c>
      <c r="D87" s="11">
        <f>'มี.ค.'!N87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 t="shared" si="1"/>
        <v>53000</v>
      </c>
    </row>
    <row r="88" spans="1:14" ht="23.25">
      <c r="A88" s="51" t="s">
        <v>140</v>
      </c>
      <c r="B88" s="40" t="s">
        <v>159</v>
      </c>
      <c r="C88" s="11">
        <f>'มี.ค.'!M88</f>
        <v>0</v>
      </c>
      <c r="D88" s="11">
        <f>'มี.ค.'!N88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v>0</v>
      </c>
      <c r="N88" s="11">
        <f t="shared" si="1"/>
        <v>0</v>
      </c>
    </row>
    <row r="89" spans="1:14" ht="23.25">
      <c r="A89" s="1" t="s">
        <v>143</v>
      </c>
      <c r="B89" s="53"/>
      <c r="C89" s="11">
        <f>'มี.ค.'!M89</f>
        <v>0</v>
      </c>
      <c r="D89" s="11">
        <f>'มี.ค.'!N89</f>
        <v>0</v>
      </c>
      <c r="E89" s="39"/>
      <c r="F89" s="39"/>
      <c r="G89" s="39"/>
      <c r="H89" s="39"/>
      <c r="I89" s="39"/>
      <c r="J89" s="39"/>
      <c r="K89" s="39"/>
      <c r="L89" s="39"/>
      <c r="M89" s="11">
        <f>SUM(C89+E89+G89+I89+K89)-(D89+F89+H89+J89+L89)</f>
        <v>0</v>
      </c>
      <c r="N89" s="11">
        <f t="shared" si="1"/>
        <v>0</v>
      </c>
    </row>
    <row r="90" spans="1:14" ht="23.25">
      <c r="A90" s="282" t="s">
        <v>307</v>
      </c>
      <c r="B90" s="283" t="s">
        <v>168</v>
      </c>
      <c r="C90" s="11">
        <f>'มี.ค.'!M90</f>
        <v>0</v>
      </c>
      <c r="D90" s="11">
        <f>'มี.ค.'!N90</f>
        <v>0</v>
      </c>
      <c r="E90" s="39"/>
      <c r="F90" s="39"/>
      <c r="G90" s="39"/>
      <c r="H90" s="39"/>
      <c r="I90" s="39"/>
      <c r="J90" s="39"/>
      <c r="K90" s="39"/>
      <c r="L90" s="39"/>
      <c r="M90" s="11">
        <f>SUM(C90+E90+G90+I90+K90)-(D90+F90+H90+J90+L90)</f>
        <v>0</v>
      </c>
      <c r="N90" s="11">
        <f t="shared" si="1"/>
        <v>0</v>
      </c>
    </row>
    <row r="91" spans="1:14" ht="23.25">
      <c r="A91" s="285" t="s">
        <v>308</v>
      </c>
      <c r="B91" s="8" t="s">
        <v>168</v>
      </c>
      <c r="C91" s="11">
        <f>'มี.ค.'!M91</f>
        <v>0</v>
      </c>
      <c r="D91" s="11">
        <f>'มี.ค.'!N91</f>
        <v>48000</v>
      </c>
      <c r="E91" s="13"/>
      <c r="F91" s="13">
        <v>5500</v>
      </c>
      <c r="G91" s="13"/>
      <c r="H91" s="13"/>
      <c r="I91" s="13"/>
      <c r="J91" s="13"/>
      <c r="K91" s="13"/>
      <c r="L91" s="13"/>
      <c r="M91" s="11">
        <v>0</v>
      </c>
      <c r="N91" s="11">
        <f t="shared" si="1"/>
        <v>53500</v>
      </c>
    </row>
    <row r="92" spans="1:14" ht="24" thickBot="1">
      <c r="A92" s="44"/>
      <c r="B92" s="45"/>
      <c r="C92" s="42">
        <f>SUM(C6:C91)</f>
        <v>23435359.79</v>
      </c>
      <c r="D92" s="42">
        <f aca="true" t="shared" si="2" ref="D92:N92">SUM(D6:D91)</f>
        <v>23435359.79</v>
      </c>
      <c r="E92" s="14">
        <f t="shared" si="2"/>
        <v>753332.21</v>
      </c>
      <c r="F92" s="14">
        <f t="shared" si="2"/>
        <v>753332.21</v>
      </c>
      <c r="G92" s="14">
        <f t="shared" si="2"/>
        <v>1947455.45</v>
      </c>
      <c r="H92" s="14">
        <f t="shared" si="2"/>
        <v>1947455.4500000002</v>
      </c>
      <c r="I92" s="14">
        <f t="shared" si="2"/>
        <v>140050.76</v>
      </c>
      <c r="J92" s="14">
        <f t="shared" si="2"/>
        <v>140050.76</v>
      </c>
      <c r="K92" s="14">
        <f t="shared" si="2"/>
        <v>1710466.87</v>
      </c>
      <c r="L92" s="14">
        <f t="shared" si="2"/>
        <v>1710466.87</v>
      </c>
      <c r="M92" s="42">
        <f t="shared" si="2"/>
        <v>23800871.359999996</v>
      </c>
      <c r="N92" s="42">
        <f t="shared" si="2"/>
        <v>23800871.36</v>
      </c>
    </row>
    <row r="93" spans="1:14" ht="24" thickTop="1">
      <c r="A93" s="3"/>
      <c r="B93" s="4"/>
      <c r="C93" s="15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</row>
    <row r="94" spans="1:53" ht="23.25">
      <c r="A94" s="16"/>
      <c r="B94" s="309"/>
      <c r="C94" s="309"/>
      <c r="D94" s="309"/>
      <c r="E94" s="309"/>
      <c r="F94" s="309"/>
      <c r="G94" s="309"/>
      <c r="H94" s="16"/>
      <c r="I94" s="16"/>
      <c r="J94" s="16"/>
      <c r="K94" s="16"/>
      <c r="L94" s="16"/>
      <c r="M94" s="16"/>
      <c r="N94" s="16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23.25">
      <c r="A95" s="3"/>
      <c r="B95" s="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23.25">
      <c r="A96" s="16"/>
      <c r="B96" s="309"/>
      <c r="C96" s="309"/>
      <c r="D96" s="309"/>
      <c r="E96" s="309"/>
      <c r="F96" s="309"/>
      <c r="G96" s="309"/>
      <c r="H96" s="16"/>
      <c r="I96" s="309"/>
      <c r="J96" s="309"/>
      <c r="K96" s="309"/>
      <c r="L96" s="16"/>
      <c r="M96" s="16"/>
      <c r="N96" s="16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22.5" customHeight="1">
      <c r="A97" s="16"/>
      <c r="B97" s="309"/>
      <c r="C97" s="309"/>
      <c r="D97" s="309"/>
      <c r="E97" s="309"/>
      <c r="F97" s="309"/>
      <c r="G97" s="309"/>
      <c r="H97" s="16"/>
      <c r="I97" s="309"/>
      <c r="J97" s="309"/>
      <c r="K97" s="309"/>
      <c r="L97" s="16"/>
      <c r="M97" s="16"/>
      <c r="N97" s="16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14" ht="23.25">
      <c r="A98" s="3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3.25">
      <c r="A99" s="3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3.25">
      <c r="A100" s="3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3.25">
      <c r="A101" s="3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3.25">
      <c r="A102" s="3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23.25">
      <c r="A103" s="3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3.25">
      <c r="A104" s="3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3.25">
      <c r="A105" s="3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3.25">
      <c r="A106" s="3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</sheetData>
  <sheetProtection/>
  <mergeCells count="17">
    <mergeCell ref="I96:K96"/>
    <mergeCell ref="B97:D97"/>
    <mergeCell ref="E97:G97"/>
    <mergeCell ref="I97:K97"/>
    <mergeCell ref="B94:D94"/>
    <mergeCell ref="E94:G94"/>
    <mergeCell ref="B96:D96"/>
    <mergeCell ref="E96:G96"/>
    <mergeCell ref="A1:N1"/>
    <mergeCell ref="A2:N2"/>
    <mergeCell ref="K4:L4"/>
    <mergeCell ref="M4:N4"/>
    <mergeCell ref="A4:A5"/>
    <mergeCell ref="C4:D4"/>
    <mergeCell ref="E4:F4"/>
    <mergeCell ref="G4:H4"/>
    <mergeCell ref="I4:J4"/>
  </mergeCells>
  <printOptions/>
  <pageMargins left="0.37" right="0" top="0.5905511811023623" bottom="0.3937007874015748" header="0" footer="0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106"/>
  <sheetViews>
    <sheetView zoomScalePageLayoutView="0" workbookViewId="0" topLeftCell="A1">
      <pane xSplit="2" ySplit="5" topLeftCell="K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2" sqref="F52"/>
    </sheetView>
  </sheetViews>
  <sheetFormatPr defaultColWidth="9.140625" defaultRowHeight="12.75"/>
  <cols>
    <col min="1" max="1" width="55.7109375" style="5" customWidth="1"/>
    <col min="2" max="2" width="7.7109375" style="5" customWidth="1"/>
    <col min="3" max="4" width="13.8515625" style="9" customWidth="1"/>
    <col min="5" max="14" width="13.7109375" style="9" customWidth="1"/>
    <col min="15" max="49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272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23.25">
      <c r="A4" s="307" t="s">
        <v>0</v>
      </c>
      <c r="B4" s="30" t="s">
        <v>77</v>
      </c>
      <c r="C4" s="305" t="s">
        <v>287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14" ht="23.25">
      <c r="A6" s="6" t="s">
        <v>51</v>
      </c>
      <c r="B6" s="7" t="s">
        <v>5</v>
      </c>
      <c r="C6" s="32">
        <f>'เม.ย.'!M6</f>
        <v>0</v>
      </c>
      <c r="D6" s="32">
        <f>'เม.ย.'!N6</f>
        <v>0</v>
      </c>
      <c r="E6" s="10"/>
      <c r="F6" s="10"/>
      <c r="G6" s="10"/>
      <c r="H6" s="10"/>
      <c r="I6" s="10"/>
      <c r="J6" s="10"/>
      <c r="K6" s="10"/>
      <c r="L6" s="10"/>
      <c r="M6" s="11">
        <f aca="true" t="shared" si="0" ref="M6:M67">SUM(C6+E6+G6+I6+K6)-(D6+F6+H6+J6+L6)</f>
        <v>0</v>
      </c>
      <c r="N6" s="11">
        <v>0</v>
      </c>
    </row>
    <row r="7" spans="1:16" ht="23.25">
      <c r="A7" s="1" t="s">
        <v>116</v>
      </c>
      <c r="B7" s="2" t="s">
        <v>6</v>
      </c>
      <c r="C7" s="11">
        <f>'เม.ย.'!M7</f>
        <v>39573.21000000002</v>
      </c>
      <c r="D7" s="11">
        <f>'เม.ย.'!N7</f>
        <v>0</v>
      </c>
      <c r="E7" s="12">
        <v>1030054.19</v>
      </c>
      <c r="F7" s="12"/>
      <c r="G7" s="12"/>
      <c r="H7" s="12">
        <v>375460</v>
      </c>
      <c r="I7" s="12"/>
      <c r="J7" s="12"/>
      <c r="K7" s="12"/>
      <c r="L7" s="12"/>
      <c r="M7" s="11">
        <f t="shared" si="0"/>
        <v>694167.3999999999</v>
      </c>
      <c r="N7" s="11">
        <v>0</v>
      </c>
      <c r="O7" s="52">
        <f>694167.4-M7</f>
        <v>0</v>
      </c>
      <c r="P7" s="52"/>
    </row>
    <row r="8" spans="1:16" ht="23.25">
      <c r="A8" s="1" t="s">
        <v>130</v>
      </c>
      <c r="B8" s="2" t="s">
        <v>7</v>
      </c>
      <c r="C8" s="11">
        <f>'เม.ย.'!M8</f>
        <v>570508.51</v>
      </c>
      <c r="D8" s="11">
        <f>'เม.ย.'!N8</f>
        <v>0</v>
      </c>
      <c r="E8" s="11"/>
      <c r="F8" s="11"/>
      <c r="G8" s="11"/>
      <c r="H8" s="11"/>
      <c r="I8" s="11"/>
      <c r="J8" s="11"/>
      <c r="K8" s="11"/>
      <c r="L8" s="11"/>
      <c r="M8" s="11">
        <f t="shared" si="0"/>
        <v>570508.51</v>
      </c>
      <c r="N8" s="11">
        <v>0</v>
      </c>
      <c r="O8" s="52">
        <f>570508.51-M8</f>
        <v>0</v>
      </c>
      <c r="P8" s="52"/>
    </row>
    <row r="9" spans="1:16" ht="23.25">
      <c r="A9" s="1" t="s">
        <v>134</v>
      </c>
      <c r="B9" s="2" t="s">
        <v>7</v>
      </c>
      <c r="C9" s="11">
        <f>'เม.ย.'!M9</f>
        <v>0</v>
      </c>
      <c r="D9" s="11">
        <f>'เม.ย.'!N9</f>
        <v>0</v>
      </c>
      <c r="E9" s="11"/>
      <c r="F9" s="11"/>
      <c r="G9" s="11"/>
      <c r="H9" s="11">
        <v>1611355.83</v>
      </c>
      <c r="I9" s="11"/>
      <c r="J9" s="11"/>
      <c r="K9" s="11">
        <v>1611355.83</v>
      </c>
      <c r="L9" s="11"/>
      <c r="M9" s="11">
        <v>0</v>
      </c>
      <c r="N9" s="11">
        <f>SUM(D9+F9+H9+J9+L9)-(C9+E9+G9+I9+K9)</f>
        <v>0</v>
      </c>
      <c r="O9" s="52"/>
      <c r="P9" s="52"/>
    </row>
    <row r="10" spans="1:15" ht="23.25">
      <c r="A10" s="1" t="s">
        <v>117</v>
      </c>
      <c r="B10" s="2" t="s">
        <v>8</v>
      </c>
      <c r="C10" s="11">
        <f>'เม.ย.'!M10</f>
        <v>10967432.43</v>
      </c>
      <c r="D10" s="11">
        <f>'เม.ย.'!N10</f>
        <v>0</v>
      </c>
      <c r="E10" s="11">
        <v>674104.23</v>
      </c>
      <c r="F10" s="11"/>
      <c r="G10" s="11"/>
      <c r="H10" s="11"/>
      <c r="I10" s="11"/>
      <c r="J10" s="11"/>
      <c r="K10" s="11"/>
      <c r="L10" s="11">
        <v>1611355.83</v>
      </c>
      <c r="M10" s="11">
        <f t="shared" si="0"/>
        <v>10030180.83</v>
      </c>
      <c r="N10" s="11">
        <v>0</v>
      </c>
      <c r="O10" s="52">
        <f>10235345.83-M10-20250</f>
        <v>184915</v>
      </c>
    </row>
    <row r="11" spans="1:15" ht="23.25">
      <c r="A11" s="1" t="s">
        <v>128</v>
      </c>
      <c r="B11" s="2" t="s">
        <v>8</v>
      </c>
      <c r="C11" s="11">
        <f>'เม.ย.'!M11</f>
        <v>1137396.77</v>
      </c>
      <c r="D11" s="11">
        <f>'เม.ย.'!N11</f>
        <v>0</v>
      </c>
      <c r="E11" s="11">
        <v>65500</v>
      </c>
      <c r="F11" s="11"/>
      <c r="G11" s="11"/>
      <c r="H11" s="11"/>
      <c r="I11" s="11"/>
      <c r="J11" s="11"/>
      <c r="K11" s="11"/>
      <c r="L11" s="11"/>
      <c r="M11" s="11">
        <f t="shared" si="0"/>
        <v>1202896.77</v>
      </c>
      <c r="N11" s="11">
        <v>0</v>
      </c>
      <c r="O11" s="52"/>
    </row>
    <row r="12" spans="1:14" ht="23.25">
      <c r="A12" s="1" t="s">
        <v>131</v>
      </c>
      <c r="B12" s="2" t="s">
        <v>8</v>
      </c>
      <c r="C12" s="11">
        <f>'เม.ย.'!M12</f>
        <v>1621.45</v>
      </c>
      <c r="D12" s="11">
        <f>'เม.ย.'!N12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1621.45</v>
      </c>
      <c r="N12" s="11">
        <v>0</v>
      </c>
    </row>
    <row r="13" spans="1:16" ht="23.25">
      <c r="A13" s="1" t="s">
        <v>39</v>
      </c>
      <c r="B13" s="2" t="s">
        <v>40</v>
      </c>
      <c r="C13" s="11">
        <f>'เม.ย.'!M13</f>
        <v>32795</v>
      </c>
      <c r="D13" s="11">
        <f>'เม.ย.'!N13</f>
        <v>0</v>
      </c>
      <c r="E13" s="11"/>
      <c r="F13" s="11"/>
      <c r="G13" s="11">
        <v>322000</v>
      </c>
      <c r="H13" s="11"/>
      <c r="I13" s="11"/>
      <c r="J13" s="11"/>
      <c r="K13" s="11"/>
      <c r="L13" s="264">
        <f>312000</f>
        <v>312000</v>
      </c>
      <c r="M13" s="11">
        <f t="shared" si="0"/>
        <v>42795</v>
      </c>
      <c r="N13" s="11">
        <v>0</v>
      </c>
      <c r="O13" s="52"/>
      <c r="P13" s="279">
        <v>30000</v>
      </c>
    </row>
    <row r="14" spans="1:16" ht="23.25">
      <c r="A14" s="1" t="s">
        <v>110</v>
      </c>
      <c r="B14" s="2" t="s">
        <v>111</v>
      </c>
      <c r="C14" s="11">
        <f>'เม.ย.'!M14</f>
        <v>0</v>
      </c>
      <c r="D14" s="11">
        <f>'เม.ย.'!N14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  <c r="P14" s="279">
        <f>2000+295+500</f>
        <v>2795</v>
      </c>
    </row>
    <row r="15" spans="1:16" ht="23.25">
      <c r="A15" s="1" t="s">
        <v>52</v>
      </c>
      <c r="B15" s="2" t="s">
        <v>9</v>
      </c>
      <c r="C15" s="11">
        <f>'เม.ย.'!M15</f>
        <v>311343</v>
      </c>
      <c r="D15" s="11">
        <f>'เม.ย.'!N15</f>
        <v>0</v>
      </c>
      <c r="E15" s="11"/>
      <c r="F15" s="11"/>
      <c r="G15" s="11">
        <v>16148</v>
      </c>
      <c r="H15" s="11"/>
      <c r="I15" s="11"/>
      <c r="J15" s="11"/>
      <c r="K15" s="11"/>
      <c r="L15" s="11"/>
      <c r="M15" s="11">
        <f t="shared" si="0"/>
        <v>327491</v>
      </c>
      <c r="N15" s="11">
        <v>0</v>
      </c>
      <c r="P15" s="280">
        <v>10000</v>
      </c>
    </row>
    <row r="16" spans="1:16" ht="23.25">
      <c r="A16" s="6" t="s">
        <v>10</v>
      </c>
      <c r="B16" s="7" t="s">
        <v>11</v>
      </c>
      <c r="C16" s="11">
        <f>'เม.ย.'!M16</f>
        <v>1584335</v>
      </c>
      <c r="D16" s="11">
        <f>'เม.ย.'!N16</f>
        <v>0</v>
      </c>
      <c r="E16" s="11"/>
      <c r="F16" s="11"/>
      <c r="G16" s="11">
        <v>226780</v>
      </c>
      <c r="H16" s="11"/>
      <c r="I16" s="11"/>
      <c r="J16" s="11"/>
      <c r="K16" s="11"/>
      <c r="L16" s="11"/>
      <c r="M16" s="11">
        <f t="shared" si="0"/>
        <v>1811115</v>
      </c>
      <c r="N16" s="11">
        <v>0</v>
      </c>
      <c r="P16" s="279"/>
    </row>
    <row r="17" spans="1:16" ht="23.25">
      <c r="A17" s="1" t="s">
        <v>12</v>
      </c>
      <c r="B17" s="2" t="s">
        <v>13</v>
      </c>
      <c r="C17" s="11">
        <f>'เม.ย.'!M17</f>
        <v>0</v>
      </c>
      <c r="D17" s="11">
        <f>'เม.ย.'!N17</f>
        <v>0</v>
      </c>
      <c r="E17" s="11"/>
      <c r="F17" s="11"/>
      <c r="G17" s="11">
        <v>0</v>
      </c>
      <c r="H17" s="11"/>
      <c r="I17" s="11"/>
      <c r="J17" s="11"/>
      <c r="K17" s="11"/>
      <c r="L17" s="11"/>
      <c r="M17" s="11">
        <f t="shared" si="0"/>
        <v>0</v>
      </c>
      <c r="N17" s="11">
        <f aca="true" t="shared" si="1" ref="N17:N73">SUM(D17+F17+H17+J17+L17)-(C17+E17+G17+I17+K17)</f>
        <v>0</v>
      </c>
      <c r="P17" s="279">
        <f>SUM(P13:P16)</f>
        <v>42795</v>
      </c>
    </row>
    <row r="18" spans="1:14" ht="23.25">
      <c r="A18" s="1" t="s">
        <v>14</v>
      </c>
      <c r="B18" s="2" t="s">
        <v>15</v>
      </c>
      <c r="C18" s="11">
        <f>'เม.ย.'!M18</f>
        <v>950180</v>
      </c>
      <c r="D18" s="11">
        <f>'เม.ย.'!N18</f>
        <v>0</v>
      </c>
      <c r="E18" s="11"/>
      <c r="F18" s="11"/>
      <c r="G18" s="11">
        <v>135740</v>
      </c>
      <c r="H18" s="11"/>
      <c r="I18" s="11"/>
      <c r="J18" s="11"/>
      <c r="K18" s="11"/>
      <c r="L18" s="11"/>
      <c r="M18" s="11">
        <f t="shared" si="0"/>
        <v>1085920</v>
      </c>
      <c r="N18" s="11">
        <v>0</v>
      </c>
    </row>
    <row r="19" spans="1:14" ht="23.25">
      <c r="A19" s="1" t="s">
        <v>16</v>
      </c>
      <c r="B19" s="2" t="s">
        <v>17</v>
      </c>
      <c r="C19" s="11">
        <f>'เม.ย.'!M19</f>
        <v>1956402</v>
      </c>
      <c r="D19" s="11">
        <f>'เม.ย.'!N19</f>
        <v>0</v>
      </c>
      <c r="E19" s="11"/>
      <c r="F19" s="11"/>
      <c r="G19" s="11">
        <v>280992</v>
      </c>
      <c r="H19" s="11"/>
      <c r="I19" s="11"/>
      <c r="J19" s="11"/>
      <c r="K19" s="11"/>
      <c r="L19" s="11"/>
      <c r="M19" s="11">
        <f t="shared" si="0"/>
        <v>2237394</v>
      </c>
      <c r="N19" s="11">
        <v>0</v>
      </c>
    </row>
    <row r="20" spans="1:14" ht="23.25">
      <c r="A20" s="1" t="s">
        <v>18</v>
      </c>
      <c r="B20" s="2" t="s">
        <v>19</v>
      </c>
      <c r="C20" s="11">
        <f>'เม.ย.'!M20</f>
        <v>2232992.2</v>
      </c>
      <c r="D20" s="11">
        <f>'เม.ย.'!N20</f>
        <v>0</v>
      </c>
      <c r="E20" s="11"/>
      <c r="F20" s="11"/>
      <c r="G20" s="11">
        <v>112663</v>
      </c>
      <c r="H20" s="11"/>
      <c r="I20" s="11"/>
      <c r="J20" s="11"/>
      <c r="K20" s="264">
        <v>312000</v>
      </c>
      <c r="L20" s="11">
        <v>30000</v>
      </c>
      <c r="M20" s="11">
        <f t="shared" si="0"/>
        <v>2627655.2</v>
      </c>
      <c r="N20" s="11">
        <v>0</v>
      </c>
    </row>
    <row r="21" spans="1:14" ht="23.25">
      <c r="A21" s="1" t="s">
        <v>20</v>
      </c>
      <c r="B21" s="2" t="s">
        <v>21</v>
      </c>
      <c r="C21" s="11">
        <f>'เม.ย.'!M21</f>
        <v>1124698.45</v>
      </c>
      <c r="D21" s="11">
        <f>'เม.ย.'!N21</f>
        <v>0</v>
      </c>
      <c r="E21" s="12"/>
      <c r="F21" s="12"/>
      <c r="G21" s="12">
        <v>264464</v>
      </c>
      <c r="H21" s="12"/>
      <c r="I21" s="12"/>
      <c r="J21" s="12"/>
      <c r="K21" s="12"/>
      <c r="L21" s="12"/>
      <c r="M21" s="11">
        <f t="shared" si="0"/>
        <v>1389162.45</v>
      </c>
      <c r="N21" s="11">
        <v>0</v>
      </c>
    </row>
    <row r="22" spans="1:14" ht="23.25">
      <c r="A22" s="1" t="s">
        <v>22</v>
      </c>
      <c r="B22" s="2" t="s">
        <v>23</v>
      </c>
      <c r="C22" s="11">
        <f>'เม.ย.'!M22</f>
        <v>73888.34</v>
      </c>
      <c r="D22" s="11">
        <f>'เม.ย.'!N22</f>
        <v>0</v>
      </c>
      <c r="E22" s="11"/>
      <c r="F22" s="11"/>
      <c r="G22" s="11">
        <v>10914.81</v>
      </c>
      <c r="H22" s="11"/>
      <c r="I22" s="11"/>
      <c r="J22" s="11"/>
      <c r="K22" s="11"/>
      <c r="L22" s="11"/>
      <c r="M22" s="11">
        <f t="shared" si="0"/>
        <v>84803.15</v>
      </c>
      <c r="N22" s="11">
        <v>0</v>
      </c>
    </row>
    <row r="23" spans="1:14" ht="23.25">
      <c r="A23" s="1" t="s">
        <v>24</v>
      </c>
      <c r="B23" s="2" t="s">
        <v>25</v>
      </c>
      <c r="C23" s="11">
        <f>'เม.ย.'!M23</f>
        <v>2487000</v>
      </c>
      <c r="D23" s="11">
        <f>'เม.ย.'!N23</f>
        <v>0</v>
      </c>
      <c r="E23" s="11"/>
      <c r="F23" s="11"/>
      <c r="G23" s="11">
        <v>20000</v>
      </c>
      <c r="H23" s="11"/>
      <c r="I23" s="11"/>
      <c r="J23" s="11"/>
      <c r="K23" s="11"/>
      <c r="L23" s="11"/>
      <c r="M23" s="11">
        <f t="shared" si="0"/>
        <v>2507000</v>
      </c>
      <c r="N23" s="11">
        <v>0</v>
      </c>
    </row>
    <row r="24" spans="1:14" ht="23.25">
      <c r="A24" s="1" t="s">
        <v>26</v>
      </c>
      <c r="B24" s="2" t="s">
        <v>27</v>
      </c>
      <c r="C24" s="11">
        <f>'เม.ย.'!M24</f>
        <v>4536</v>
      </c>
      <c r="D24" s="11">
        <f>'เม.ย.'!N24</f>
        <v>0</v>
      </c>
      <c r="E24" s="11"/>
      <c r="F24" s="11"/>
      <c r="G24" s="11"/>
      <c r="H24" s="11"/>
      <c r="I24" s="11"/>
      <c r="J24" s="11"/>
      <c r="K24" s="11"/>
      <c r="L24" s="11"/>
      <c r="M24" s="11">
        <f t="shared" si="0"/>
        <v>4536</v>
      </c>
      <c r="N24" s="11">
        <v>0</v>
      </c>
    </row>
    <row r="25" spans="1:14" ht="23.25">
      <c r="A25" s="1" t="s">
        <v>28</v>
      </c>
      <c r="B25" s="2" t="s">
        <v>29</v>
      </c>
      <c r="C25" s="11">
        <f>'เม.ย.'!M25</f>
        <v>95000</v>
      </c>
      <c r="D25" s="11">
        <f>'เม.ย.'!N25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95000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'เม.ย.'!M26</f>
        <v>54000</v>
      </c>
      <c r="D26" s="11">
        <f>'เม.ย.'!N26</f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54000</v>
      </c>
      <c r="N26" s="11">
        <v>0</v>
      </c>
    </row>
    <row r="27" spans="1:14" ht="23.25">
      <c r="A27" s="1" t="s">
        <v>41</v>
      </c>
      <c r="B27" s="2" t="s">
        <v>42</v>
      </c>
      <c r="C27" s="11">
        <f>'เม.ย.'!M27</f>
        <v>0</v>
      </c>
      <c r="D27" s="11">
        <f>'เม.ย.'!N27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v>0</v>
      </c>
      <c r="N27" s="11">
        <f t="shared" si="1"/>
        <v>0</v>
      </c>
    </row>
    <row r="28" spans="1:14" ht="23.25">
      <c r="A28" s="1" t="s">
        <v>44</v>
      </c>
      <c r="B28" s="2" t="s">
        <v>30</v>
      </c>
      <c r="C28" s="11">
        <f>'เม.ย.'!M28</f>
        <v>0</v>
      </c>
      <c r="D28" s="11">
        <f>'เม.ย.'!N28</f>
        <v>2875247.9099999997</v>
      </c>
      <c r="E28" s="11"/>
      <c r="F28" s="11"/>
      <c r="G28" s="11"/>
      <c r="H28" s="11"/>
      <c r="I28" s="11"/>
      <c r="J28" s="11"/>
      <c r="K28" s="11"/>
      <c r="L28" s="11"/>
      <c r="M28" s="11">
        <v>0</v>
      </c>
      <c r="N28" s="11">
        <f t="shared" si="1"/>
        <v>2875247.9099999997</v>
      </c>
    </row>
    <row r="29" spans="1:14" ht="23.25">
      <c r="A29" s="1" t="s">
        <v>45</v>
      </c>
      <c r="B29" s="2" t="s">
        <v>43</v>
      </c>
      <c r="C29" s="11">
        <f>'เม.ย.'!M29</f>
        <v>0</v>
      </c>
      <c r="D29" s="11">
        <f>'เม.ย.'!N29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53</v>
      </c>
      <c r="B30" s="2" t="s">
        <v>31</v>
      </c>
      <c r="C30" s="11">
        <f>'เม.ย.'!M30</f>
        <v>0</v>
      </c>
      <c r="D30" s="11">
        <f>'เม.ย.'!N30</f>
        <v>0</v>
      </c>
      <c r="E30" s="11"/>
      <c r="F30" s="11"/>
      <c r="G30" s="11"/>
      <c r="H30" s="11"/>
      <c r="I30" s="11"/>
      <c r="J30" s="11"/>
      <c r="K30" s="11"/>
      <c r="L30" s="11"/>
      <c r="M30" s="11">
        <v>0</v>
      </c>
      <c r="N30" s="11">
        <f t="shared" si="1"/>
        <v>0</v>
      </c>
    </row>
    <row r="31" spans="1:14" ht="23.25">
      <c r="A31" s="1" t="s">
        <v>32</v>
      </c>
      <c r="B31" s="2" t="s">
        <v>33</v>
      </c>
      <c r="C31" s="11">
        <f>'เม.ย.'!M31</f>
        <v>0</v>
      </c>
      <c r="D31" s="11">
        <f>'เม.ย.'!N31</f>
        <v>0</v>
      </c>
      <c r="E31" s="11"/>
      <c r="F31" s="11">
        <v>1491110.81</v>
      </c>
      <c r="G31" s="11"/>
      <c r="H31" s="11"/>
      <c r="I31" s="11">
        <v>1491110.81</v>
      </c>
      <c r="J31" s="11"/>
      <c r="K31" s="11"/>
      <c r="L31" s="11"/>
      <c r="M31" s="11">
        <v>0</v>
      </c>
      <c r="N31" s="11">
        <f t="shared" si="1"/>
        <v>0</v>
      </c>
    </row>
    <row r="32" spans="1:14" ht="23.25">
      <c r="A32" s="1" t="s">
        <v>35</v>
      </c>
      <c r="B32" s="2" t="s">
        <v>46</v>
      </c>
      <c r="C32" s="11">
        <f>'เม.ย.'!M32</f>
        <v>0</v>
      </c>
      <c r="D32" s="11">
        <f>'เม.ย.'!N32</f>
        <v>0</v>
      </c>
      <c r="E32" s="11"/>
      <c r="F32" s="11"/>
      <c r="G32" s="11"/>
      <c r="H32" s="11"/>
      <c r="I32" s="11"/>
      <c r="J32" s="11"/>
      <c r="K32" s="11"/>
      <c r="L32" s="11"/>
      <c r="M32" s="11"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'เม.ย.'!M33</f>
        <v>0</v>
      </c>
      <c r="D33" s="11">
        <f>'เม.ย.'!N33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f t="shared" si="0"/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'เม.ย.'!M34</f>
        <v>0</v>
      </c>
      <c r="D34" s="11">
        <f>'เม.ย.'!N34</f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'เม.ย.'!M35</f>
        <v>0</v>
      </c>
      <c r="D35" s="11">
        <f>'เม.ย.'!N35</f>
        <v>5977.58</v>
      </c>
      <c r="E35" s="11"/>
      <c r="F35" s="11"/>
      <c r="G35" s="11">
        <v>5977.58</v>
      </c>
      <c r="H35" s="11">
        <v>4753.56</v>
      </c>
      <c r="I35" s="11"/>
      <c r="J35" s="11"/>
      <c r="K35" s="11"/>
      <c r="L35" s="11"/>
      <c r="M35" s="11">
        <v>0</v>
      </c>
      <c r="N35" s="11">
        <f t="shared" si="1"/>
        <v>4753.5599999999995</v>
      </c>
    </row>
    <row r="36" spans="1:14" ht="23.25">
      <c r="A36" s="6" t="s">
        <v>72</v>
      </c>
      <c r="B36" s="7">
        <v>903</v>
      </c>
      <c r="C36" s="11">
        <f>'เม.ย.'!M36</f>
        <v>0</v>
      </c>
      <c r="D36" s="11">
        <f>'เม.ย.'!N36</f>
        <v>651686.5</v>
      </c>
      <c r="E36" s="11"/>
      <c r="F36" s="11">
        <v>9690</v>
      </c>
      <c r="G36" s="11"/>
      <c r="H36" s="11"/>
      <c r="I36" s="11"/>
      <c r="J36" s="11"/>
      <c r="K36" s="11"/>
      <c r="L36" s="11"/>
      <c r="M36" s="11">
        <v>0</v>
      </c>
      <c r="N36" s="11">
        <f t="shared" si="1"/>
        <v>661376.5</v>
      </c>
    </row>
    <row r="37" spans="1:14" ht="23.25">
      <c r="A37" s="1" t="s">
        <v>73</v>
      </c>
      <c r="B37" s="2">
        <v>904</v>
      </c>
      <c r="C37" s="11">
        <f>'เม.ย.'!M37</f>
        <v>1690</v>
      </c>
      <c r="D37" s="11">
        <f>'เม.ย.'!N37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1690</v>
      </c>
      <c r="N37" s="11">
        <v>0</v>
      </c>
    </row>
    <row r="38" spans="1:14" ht="23.25">
      <c r="A38" s="1" t="s">
        <v>74</v>
      </c>
      <c r="B38" s="2" t="s">
        <v>49</v>
      </c>
      <c r="C38" s="11">
        <f>'เม.ย.'!M38</f>
        <v>0</v>
      </c>
      <c r="D38" s="11">
        <f>'เม.ย.'!N38</f>
        <v>3869.45</v>
      </c>
      <c r="E38" s="11"/>
      <c r="F38" s="11">
        <v>162.55</v>
      </c>
      <c r="G38" s="11"/>
      <c r="H38" s="11"/>
      <c r="I38" s="11"/>
      <c r="J38" s="11"/>
      <c r="K38" s="11"/>
      <c r="L38" s="11"/>
      <c r="M38" s="11">
        <v>0</v>
      </c>
      <c r="N38" s="11">
        <f t="shared" si="1"/>
        <v>4032</v>
      </c>
    </row>
    <row r="39" spans="1:14" ht="23.25">
      <c r="A39" s="1" t="s">
        <v>75</v>
      </c>
      <c r="B39" s="2" t="s">
        <v>50</v>
      </c>
      <c r="C39" s="11">
        <f>'เม.ย.'!M39</f>
        <v>0</v>
      </c>
      <c r="D39" s="11">
        <f>'เม.ย.'!N39</f>
        <v>4643.34</v>
      </c>
      <c r="E39" s="11"/>
      <c r="F39" s="11">
        <v>195.06</v>
      </c>
      <c r="G39" s="11"/>
      <c r="H39" s="11"/>
      <c r="I39" s="11"/>
      <c r="J39" s="11"/>
      <c r="K39" s="11"/>
      <c r="L39" s="11"/>
      <c r="M39" s="11">
        <v>0</v>
      </c>
      <c r="N39" s="11">
        <f t="shared" si="1"/>
        <v>4838.400000000001</v>
      </c>
    </row>
    <row r="40" spans="1:14" ht="23.25">
      <c r="A40" s="1" t="s">
        <v>54</v>
      </c>
      <c r="B40" s="2">
        <v>900</v>
      </c>
      <c r="C40" s="11">
        <f>'เม.ย.'!M40</f>
        <v>0</v>
      </c>
      <c r="D40" s="11">
        <f>'เม.ย.'!N40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'เม.ย.'!M41</f>
        <v>0</v>
      </c>
      <c r="D41" s="11">
        <f>'เม.ย.'!N41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v>0</v>
      </c>
      <c r="N41" s="11">
        <f t="shared" si="1"/>
        <v>0</v>
      </c>
    </row>
    <row r="42" spans="1:14" ht="23.25">
      <c r="A42" s="1" t="s">
        <v>56</v>
      </c>
      <c r="B42" s="2">
        <v>900</v>
      </c>
      <c r="C42" s="11">
        <f>'เม.ย.'!M42</f>
        <v>0</v>
      </c>
      <c r="D42" s="11">
        <f>'เม.ย.'!N42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'เม.ย.'!M43</f>
        <v>0</v>
      </c>
      <c r="D43" s="11">
        <f>'เม.ย.'!N43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4" ht="23.25">
      <c r="A44" s="1" t="s">
        <v>57</v>
      </c>
      <c r="B44" s="7" t="s">
        <v>34</v>
      </c>
      <c r="C44" s="11">
        <f>'เม.ย.'!M44</f>
        <v>135120</v>
      </c>
      <c r="D44" s="11">
        <f>'เม.ย.'!N44</f>
        <v>0</v>
      </c>
      <c r="E44" s="11"/>
      <c r="F44" s="11"/>
      <c r="G44" s="11">
        <v>33780</v>
      </c>
      <c r="H44" s="11"/>
      <c r="I44" s="11"/>
      <c r="J44" s="11"/>
      <c r="K44" s="11"/>
      <c r="L44" s="11"/>
      <c r="M44" s="11">
        <f t="shared" si="0"/>
        <v>168900</v>
      </c>
      <c r="N44" s="11">
        <v>0</v>
      </c>
    </row>
    <row r="45" spans="1:14" ht="23.25">
      <c r="A45" s="6" t="s">
        <v>58</v>
      </c>
      <c r="B45" s="2">
        <v>900</v>
      </c>
      <c r="C45" s="11">
        <f>'เม.ย.'!M45</f>
        <v>33840</v>
      </c>
      <c r="D45" s="11">
        <f>'เม.ย.'!N45</f>
        <v>0</v>
      </c>
      <c r="E45" s="11"/>
      <c r="F45" s="11"/>
      <c r="G45" s="11">
        <v>8460</v>
      </c>
      <c r="H45" s="11"/>
      <c r="I45" s="11"/>
      <c r="J45" s="11"/>
      <c r="K45" s="11"/>
      <c r="L45" s="11"/>
      <c r="M45" s="11">
        <f t="shared" si="0"/>
        <v>42300</v>
      </c>
      <c r="N45" s="11">
        <v>0</v>
      </c>
    </row>
    <row r="46" spans="1:14" ht="23.25">
      <c r="A46" s="1" t="s">
        <v>158</v>
      </c>
      <c r="B46" s="2">
        <v>900</v>
      </c>
      <c r="C46" s="11">
        <f>'เม.ย.'!M46</f>
        <v>6519</v>
      </c>
      <c r="D46" s="11">
        <f>'เม.ย.'!N46</f>
        <v>0</v>
      </c>
      <c r="E46" s="11"/>
      <c r="F46" s="11"/>
      <c r="G46" s="11">
        <v>2150</v>
      </c>
      <c r="H46" s="11"/>
      <c r="I46" s="11"/>
      <c r="J46" s="11"/>
      <c r="K46" s="11"/>
      <c r="L46" s="11"/>
      <c r="M46" s="11">
        <f t="shared" si="0"/>
        <v>8669</v>
      </c>
      <c r="N46" s="11">
        <v>0</v>
      </c>
    </row>
    <row r="47" spans="1:14" ht="23.25">
      <c r="A47" s="1" t="s">
        <v>166</v>
      </c>
      <c r="B47" s="2">
        <v>900</v>
      </c>
      <c r="C47" s="11">
        <f>'เม.ย.'!M47</f>
        <v>0</v>
      </c>
      <c r="D47" s="11">
        <f>'เม.ย.'!N47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'เม.ย.'!M48</f>
        <v>0</v>
      </c>
      <c r="D48" s="11">
        <f>'เม.ย.'!N48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v>0</v>
      </c>
      <c r="N48" s="11">
        <f t="shared" si="1"/>
        <v>0</v>
      </c>
    </row>
    <row r="49" spans="1:15" ht="23.25">
      <c r="A49" s="1" t="s">
        <v>61</v>
      </c>
      <c r="B49" s="2" t="s">
        <v>34</v>
      </c>
      <c r="C49" s="11">
        <f>'เม.ย.'!M49</f>
        <v>0</v>
      </c>
      <c r="D49" s="11">
        <f>'เม.ย.'!N49</f>
        <v>1122854</v>
      </c>
      <c r="E49" s="11"/>
      <c r="F49" s="11">
        <v>65500</v>
      </c>
      <c r="G49" s="11"/>
      <c r="H49" s="11"/>
      <c r="I49" s="11"/>
      <c r="J49" s="11"/>
      <c r="K49" s="11"/>
      <c r="L49" s="11"/>
      <c r="M49" s="11">
        <v>0</v>
      </c>
      <c r="N49" s="11">
        <f t="shared" si="1"/>
        <v>1188354</v>
      </c>
      <c r="O49" s="52">
        <f>1182646.77+20250-N49-N50</f>
        <v>1.8189894035458565E-11</v>
      </c>
    </row>
    <row r="50" spans="1:14" ht="23.25">
      <c r="A50" s="1" t="s">
        <v>62</v>
      </c>
      <c r="B50" s="2" t="s">
        <v>34</v>
      </c>
      <c r="C50" s="11">
        <f>'เม.ย.'!M50</f>
        <v>0</v>
      </c>
      <c r="D50" s="11">
        <f>'เม.ย.'!N50</f>
        <v>14542.77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14542.77</v>
      </c>
    </row>
    <row r="51" spans="1:14" ht="23.25">
      <c r="A51" s="1" t="s">
        <v>144</v>
      </c>
      <c r="B51" s="2">
        <v>900</v>
      </c>
      <c r="C51" s="11">
        <f>'เม.ย.'!M51</f>
        <v>0</v>
      </c>
      <c r="D51" s="11">
        <f>'เม.ย.'!N51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v>0</v>
      </c>
      <c r="N51" s="11">
        <f t="shared" si="1"/>
        <v>0</v>
      </c>
    </row>
    <row r="52" spans="1:14" ht="23.25">
      <c r="A52" s="1" t="s">
        <v>64</v>
      </c>
      <c r="B52" s="2">
        <v>900</v>
      </c>
      <c r="C52" s="11">
        <f>'เม.ย.'!M52</f>
        <v>0</v>
      </c>
      <c r="D52" s="11">
        <f>'เม.ย.'!N52</f>
        <v>3500</v>
      </c>
      <c r="E52" s="11"/>
      <c r="F52" s="11">
        <v>2500</v>
      </c>
      <c r="G52" s="11"/>
      <c r="H52" s="11"/>
      <c r="I52" s="11"/>
      <c r="J52" s="11"/>
      <c r="K52" s="11"/>
      <c r="L52" s="11"/>
      <c r="M52" s="11">
        <v>0</v>
      </c>
      <c r="N52" s="11">
        <f t="shared" si="1"/>
        <v>6000</v>
      </c>
    </row>
    <row r="53" spans="1:14" ht="23.25">
      <c r="A53" s="1" t="s">
        <v>65</v>
      </c>
      <c r="B53" s="2">
        <v>900</v>
      </c>
      <c r="C53" s="11">
        <f>'เม.ย.'!M53</f>
        <v>0</v>
      </c>
      <c r="D53" s="11">
        <f>'เม.ย.'!N53</f>
        <v>1000</v>
      </c>
      <c r="E53" s="11"/>
      <c r="F53" s="11">
        <v>500</v>
      </c>
      <c r="G53" s="11"/>
      <c r="H53" s="11"/>
      <c r="I53" s="11"/>
      <c r="J53" s="11"/>
      <c r="K53" s="11"/>
      <c r="L53" s="11"/>
      <c r="M53" s="11">
        <v>0</v>
      </c>
      <c r="N53" s="11">
        <f t="shared" si="1"/>
        <v>1500</v>
      </c>
    </row>
    <row r="54" spans="1:14" ht="23.25">
      <c r="A54" s="1" t="s">
        <v>66</v>
      </c>
      <c r="B54" s="2">
        <v>900</v>
      </c>
      <c r="C54" s="11">
        <f>'เม.ย.'!M54</f>
        <v>0</v>
      </c>
      <c r="D54" s="11">
        <f>'เม.ย.'!N54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f t="shared" si="1"/>
        <v>0</v>
      </c>
    </row>
    <row r="55" spans="1:14" ht="23.25">
      <c r="A55" s="1" t="s">
        <v>296</v>
      </c>
      <c r="B55" s="2">
        <v>900</v>
      </c>
      <c r="C55" s="11">
        <f>'เม.ย.'!M55</f>
        <v>0</v>
      </c>
      <c r="D55" s="11">
        <f>'เม.ย.'!N55</f>
        <v>20000</v>
      </c>
      <c r="E55" s="11"/>
      <c r="F55" s="11"/>
      <c r="G55" s="11"/>
      <c r="H55" s="11"/>
      <c r="I55" s="11"/>
      <c r="J55" s="11"/>
      <c r="K55" s="11"/>
      <c r="L55" s="11"/>
      <c r="M55" s="11">
        <v>0</v>
      </c>
      <c r="N55" s="11">
        <f t="shared" si="1"/>
        <v>20000</v>
      </c>
    </row>
    <row r="56" spans="1:14" ht="23.25">
      <c r="A56" s="1" t="s">
        <v>142</v>
      </c>
      <c r="B56" s="2" t="s">
        <v>34</v>
      </c>
      <c r="C56" s="11">
        <f>'เม.ย.'!M56</f>
        <v>0</v>
      </c>
      <c r="D56" s="11">
        <f>'เม.ย.'!N56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f t="shared" si="0"/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'เม.ย.'!M57</f>
        <v>0</v>
      </c>
      <c r="D57" s="11">
        <f>'เม.ย.'!N57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292</v>
      </c>
      <c r="B58" s="2" t="s">
        <v>34</v>
      </c>
      <c r="C58" s="11">
        <f>'เม.ย.'!M58</f>
        <v>0</v>
      </c>
      <c r="D58" s="11">
        <f>'เม.ย.'!N58</f>
        <v>295</v>
      </c>
      <c r="E58" s="12"/>
      <c r="F58" s="12"/>
      <c r="G58" s="12"/>
      <c r="H58" s="12"/>
      <c r="I58" s="12"/>
      <c r="J58" s="12"/>
      <c r="K58" s="12"/>
      <c r="L58" s="12"/>
      <c r="M58" s="11">
        <v>0</v>
      </c>
      <c r="N58" s="11">
        <f t="shared" si="1"/>
        <v>295</v>
      </c>
    </row>
    <row r="59" spans="1:14" ht="23.25">
      <c r="A59" s="1" t="s">
        <v>70</v>
      </c>
      <c r="B59" s="2" t="s">
        <v>34</v>
      </c>
      <c r="C59" s="11">
        <f>'เม.ย.'!M59</f>
        <v>0</v>
      </c>
      <c r="D59" s="11">
        <f>'เม.ย.'!N59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'เม.ย.'!M60</f>
        <v>0</v>
      </c>
      <c r="D60" s="11">
        <f>'เม.ย.'!N60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f>'เม.ย.'!M61</f>
        <v>0</v>
      </c>
      <c r="D61" s="11">
        <f>'เม.ย.'!N61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'เม.ย.'!M62</f>
        <v>0</v>
      </c>
      <c r="D62" s="11">
        <f>'เม.ย.'!N62</f>
        <v>0</v>
      </c>
      <c r="E62" s="11"/>
      <c r="F62" s="11">
        <v>200000</v>
      </c>
      <c r="G62" s="11">
        <v>170000</v>
      </c>
      <c r="H62" s="11"/>
      <c r="I62" s="11"/>
      <c r="J62" s="11"/>
      <c r="K62" s="11">
        <v>30000</v>
      </c>
      <c r="L62" s="11"/>
      <c r="M62" s="11">
        <v>0</v>
      </c>
      <c r="N62" s="11">
        <f t="shared" si="1"/>
        <v>0</v>
      </c>
    </row>
    <row r="63" spans="1:14" ht="23.25">
      <c r="A63" s="1" t="s">
        <v>278</v>
      </c>
      <c r="B63" s="2" t="s">
        <v>167</v>
      </c>
      <c r="C63" s="11">
        <v>0</v>
      </c>
      <c r="D63" s="11">
        <f>'เม.ย.'!N63</f>
        <v>503066</v>
      </c>
      <c r="E63" s="11"/>
      <c r="F63" s="11"/>
      <c r="G63" s="11"/>
      <c r="H63" s="11"/>
      <c r="I63" s="11"/>
      <c r="J63" s="11"/>
      <c r="K63" s="11"/>
      <c r="L63" s="11"/>
      <c r="M63" s="11">
        <v>0</v>
      </c>
      <c r="N63" s="11">
        <f t="shared" si="1"/>
        <v>503066</v>
      </c>
    </row>
    <row r="64" spans="1:14" ht="23.25">
      <c r="A64" s="1" t="s">
        <v>277</v>
      </c>
      <c r="B64" s="2" t="s">
        <v>163</v>
      </c>
      <c r="C64" s="11">
        <f>'เม.ย.'!M64</f>
        <v>0</v>
      </c>
      <c r="D64" s="11">
        <f>'เม.ย.'!N64</f>
        <v>637000</v>
      </c>
      <c r="E64" s="11"/>
      <c r="F64" s="11"/>
      <c r="G64" s="11">
        <f>310000+5000</f>
        <v>315000</v>
      </c>
      <c r="H64" s="11"/>
      <c r="I64" s="11"/>
      <c r="J64" s="11"/>
      <c r="K64" s="11"/>
      <c r="L64" s="11"/>
      <c r="M64" s="11">
        <v>0</v>
      </c>
      <c r="N64" s="11">
        <f t="shared" si="1"/>
        <v>322000</v>
      </c>
    </row>
    <row r="65" spans="1:14" ht="23.25">
      <c r="A65" s="1" t="s">
        <v>297</v>
      </c>
      <c r="B65" s="2" t="s">
        <v>167</v>
      </c>
      <c r="C65" s="11">
        <f>'เม.ย.'!M65</f>
        <v>0</v>
      </c>
      <c r="D65" s="11">
        <f>'เม.ย.'!N65</f>
        <v>271000</v>
      </c>
      <c r="E65" s="39"/>
      <c r="F65" s="39">
        <v>0</v>
      </c>
      <c r="G65" s="11">
        <f>65000+1500</f>
        <v>66500</v>
      </c>
      <c r="H65" s="11"/>
      <c r="I65" s="11"/>
      <c r="J65" s="11"/>
      <c r="K65" s="11"/>
      <c r="L65" s="11"/>
      <c r="M65" s="11">
        <v>0</v>
      </c>
      <c r="N65" s="11">
        <f t="shared" si="1"/>
        <v>204500</v>
      </c>
    </row>
    <row r="66" spans="1:14" ht="23.25">
      <c r="A66" s="1" t="s">
        <v>120</v>
      </c>
      <c r="B66" s="2" t="s">
        <v>34</v>
      </c>
      <c r="C66" s="11">
        <f>'เม.ย.'!M66</f>
        <v>0</v>
      </c>
      <c r="D66" s="11">
        <f>'เม.ย.'!N66</f>
        <v>0</v>
      </c>
      <c r="E66" s="11"/>
      <c r="F66" s="11"/>
      <c r="G66" s="11">
        <v>89315</v>
      </c>
      <c r="H66" s="11">
        <v>89315</v>
      </c>
      <c r="I66" s="11"/>
      <c r="J66" s="11"/>
      <c r="K66" s="11"/>
      <c r="L66" s="11"/>
      <c r="M66" s="11"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f>'เม.ย.'!M67</f>
        <v>0</v>
      </c>
      <c r="D67" s="11">
        <f>'เม.ย.'!N67</f>
        <v>0</v>
      </c>
      <c r="E67" s="39"/>
      <c r="F67" s="39"/>
      <c r="G67" s="11">
        <v>45800</v>
      </c>
      <c r="H67" s="11">
        <v>45800</v>
      </c>
      <c r="I67" s="11"/>
      <c r="J67" s="11"/>
      <c r="K67" s="11"/>
      <c r="L67" s="11"/>
      <c r="M67" s="11">
        <f t="shared" si="0"/>
        <v>0</v>
      </c>
      <c r="N67" s="11">
        <v>0</v>
      </c>
    </row>
    <row r="68" spans="1:14" ht="23.25">
      <c r="A68" s="1" t="s">
        <v>121</v>
      </c>
      <c r="B68" s="40" t="s">
        <v>34</v>
      </c>
      <c r="C68" s="11">
        <f>'เม.ย.'!M68</f>
        <v>0</v>
      </c>
      <c r="D68" s="11">
        <f>'เม.ย.'!N68</f>
        <v>0</v>
      </c>
      <c r="E68" s="39"/>
      <c r="F68" s="39"/>
      <c r="G68" s="11"/>
      <c r="H68" s="11"/>
      <c r="I68" s="11"/>
      <c r="J68" s="11"/>
      <c r="K68" s="11"/>
      <c r="L68" s="11"/>
      <c r="M68" s="11">
        <v>0</v>
      </c>
      <c r="N68" s="11">
        <f t="shared" si="1"/>
        <v>0</v>
      </c>
    </row>
    <row r="69" spans="1:14" ht="23.25">
      <c r="A69" s="51" t="s">
        <v>94</v>
      </c>
      <c r="B69" s="40" t="s">
        <v>79</v>
      </c>
      <c r="C69" s="11">
        <f>'เม.ย.'!M69</f>
        <v>0</v>
      </c>
      <c r="D69" s="11">
        <f>'เม.ย.'!N69</f>
        <v>25924</v>
      </c>
      <c r="E69" s="39"/>
      <c r="F69" s="39"/>
      <c r="G69" s="11"/>
      <c r="H69" s="11"/>
      <c r="I69" s="11"/>
      <c r="J69" s="11">
        <v>2570</v>
      </c>
      <c r="K69" s="11"/>
      <c r="L69" s="11"/>
      <c r="M69" s="11">
        <v>0</v>
      </c>
      <c r="N69" s="11">
        <f t="shared" si="1"/>
        <v>28494</v>
      </c>
    </row>
    <row r="70" spans="1:15" ht="23.25">
      <c r="A70" s="51" t="s">
        <v>95</v>
      </c>
      <c r="B70" s="40" t="s">
        <v>80</v>
      </c>
      <c r="C70" s="11">
        <f>'เม.ย.'!M70</f>
        <v>0</v>
      </c>
      <c r="D70" s="11">
        <f>'เม.ย.'!N70</f>
        <v>73608.21</v>
      </c>
      <c r="E70" s="39"/>
      <c r="F70" s="39"/>
      <c r="G70" s="11"/>
      <c r="H70" s="11"/>
      <c r="I70" s="11"/>
      <c r="J70" s="11">
        <v>3607.39</v>
      </c>
      <c r="K70" s="11"/>
      <c r="L70" s="11"/>
      <c r="M70" s="11">
        <v>0</v>
      </c>
      <c r="N70" s="11">
        <f t="shared" si="1"/>
        <v>77215.6</v>
      </c>
      <c r="O70" s="52"/>
    </row>
    <row r="71" spans="1:14" ht="23.25">
      <c r="A71" s="51" t="s">
        <v>96</v>
      </c>
      <c r="B71" s="40" t="s">
        <v>81</v>
      </c>
      <c r="C71" s="11">
        <f>'เม.ย.'!M71</f>
        <v>0</v>
      </c>
      <c r="D71" s="11">
        <f>'เม.ย.'!N71</f>
        <v>6053</v>
      </c>
      <c r="E71" s="39"/>
      <c r="F71" s="39"/>
      <c r="G71" s="11"/>
      <c r="H71" s="11"/>
      <c r="I71" s="11"/>
      <c r="J71" s="11"/>
      <c r="K71" s="11"/>
      <c r="L71" s="11"/>
      <c r="M71" s="11">
        <v>0</v>
      </c>
      <c r="N71" s="11">
        <f t="shared" si="1"/>
        <v>6053</v>
      </c>
    </row>
    <row r="72" spans="1:14" ht="23.25">
      <c r="A72" s="51" t="s">
        <v>164</v>
      </c>
      <c r="B72" s="40" t="s">
        <v>162</v>
      </c>
      <c r="C72" s="11">
        <f>'เม.ย.'!M72</f>
        <v>0</v>
      </c>
      <c r="D72" s="11">
        <f>'เม.ย.'!N72</f>
        <v>26940</v>
      </c>
      <c r="E72" s="39"/>
      <c r="F72" s="39"/>
      <c r="G72" s="11"/>
      <c r="H72" s="11"/>
      <c r="I72" s="11"/>
      <c r="J72" s="11">
        <v>4240</v>
      </c>
      <c r="K72" s="11"/>
      <c r="L72" s="11"/>
      <c r="M72" s="11">
        <v>0</v>
      </c>
      <c r="N72" s="11">
        <f t="shared" si="1"/>
        <v>31180</v>
      </c>
    </row>
    <row r="73" spans="1:14" ht="23.25">
      <c r="A73" s="51" t="s">
        <v>153</v>
      </c>
      <c r="B73" s="40" t="s">
        <v>83</v>
      </c>
      <c r="C73" s="11">
        <f>'เม.ย.'!M73</f>
        <v>0</v>
      </c>
      <c r="D73" s="11">
        <f>'เม.ย.'!N73</f>
        <v>2372524.7199999997</v>
      </c>
      <c r="E73" s="39"/>
      <c r="F73" s="39"/>
      <c r="G73" s="11"/>
      <c r="H73" s="11"/>
      <c r="I73" s="11"/>
      <c r="J73" s="11">
        <v>869627.4</v>
      </c>
      <c r="K73" s="11"/>
      <c r="L73" s="11"/>
      <c r="M73" s="11">
        <v>0</v>
      </c>
      <c r="N73" s="11">
        <f t="shared" si="1"/>
        <v>3242152.1199999996</v>
      </c>
    </row>
    <row r="74" spans="1:14" ht="23.25">
      <c r="A74" s="51" t="s">
        <v>125</v>
      </c>
      <c r="B74" s="40" t="s">
        <v>160</v>
      </c>
      <c r="C74" s="11">
        <f>'เม.ย.'!M74</f>
        <v>0</v>
      </c>
      <c r="D74" s="11">
        <f>'เม.ย.'!N74</f>
        <v>991808.29</v>
      </c>
      <c r="E74" s="39"/>
      <c r="F74" s="39"/>
      <c r="G74" s="11"/>
      <c r="H74" s="11"/>
      <c r="I74" s="11"/>
      <c r="J74" s="11">
        <v>109588.03</v>
      </c>
      <c r="K74" s="11"/>
      <c r="L74" s="11"/>
      <c r="M74" s="11">
        <v>0</v>
      </c>
      <c r="N74" s="11">
        <f aca="true" t="shared" si="2" ref="N74:N91">SUM(D74+F74+H74+J74+L74)-(C74+E74+G74+I74+K74)</f>
        <v>1101396.32</v>
      </c>
    </row>
    <row r="75" spans="1:14" ht="23.25">
      <c r="A75" s="51" t="s">
        <v>123</v>
      </c>
      <c r="B75" s="40" t="s">
        <v>161</v>
      </c>
      <c r="C75" s="11">
        <f>'เม.ย.'!M75</f>
        <v>0</v>
      </c>
      <c r="D75" s="11">
        <f>'เม.ย.'!N75</f>
        <v>93258</v>
      </c>
      <c r="E75" s="39"/>
      <c r="F75" s="39"/>
      <c r="G75" s="11"/>
      <c r="H75" s="11"/>
      <c r="I75" s="11"/>
      <c r="J75" s="11">
        <v>18768</v>
      </c>
      <c r="K75" s="11"/>
      <c r="L75" s="11"/>
      <c r="M75" s="11">
        <v>0</v>
      </c>
      <c r="N75" s="11">
        <f t="shared" si="2"/>
        <v>112026</v>
      </c>
    </row>
    <row r="76" spans="1:14" ht="23.25">
      <c r="A76" s="51" t="s">
        <v>98</v>
      </c>
      <c r="B76" s="40" t="s">
        <v>85</v>
      </c>
      <c r="C76" s="11">
        <f>'เม.ย.'!M76</f>
        <v>0</v>
      </c>
      <c r="D76" s="11">
        <f>'เม.ย.'!N76</f>
        <v>557644.14</v>
      </c>
      <c r="E76" s="39"/>
      <c r="F76" s="39"/>
      <c r="G76" s="11"/>
      <c r="H76" s="11"/>
      <c r="I76" s="11"/>
      <c r="J76" s="11">
        <v>125076.02</v>
      </c>
      <c r="K76" s="11"/>
      <c r="L76" s="11"/>
      <c r="M76" s="11">
        <v>0</v>
      </c>
      <c r="N76" s="11">
        <f t="shared" si="2"/>
        <v>682720.16</v>
      </c>
    </row>
    <row r="77" spans="1:14" ht="23.25">
      <c r="A77" s="51" t="s">
        <v>99</v>
      </c>
      <c r="B77" s="40" t="s">
        <v>86</v>
      </c>
      <c r="C77" s="11">
        <f>'เม.ย.'!M77</f>
        <v>0</v>
      </c>
      <c r="D77" s="11">
        <f>'เม.ย.'!N77</f>
        <v>1473156.76</v>
      </c>
      <c r="E77" s="39"/>
      <c r="F77" s="39"/>
      <c r="G77" s="11"/>
      <c r="H77" s="11"/>
      <c r="I77" s="11"/>
      <c r="J77" s="11">
        <v>271068.97</v>
      </c>
      <c r="K77" s="11"/>
      <c r="L77" s="11"/>
      <c r="M77" s="11">
        <v>0</v>
      </c>
      <c r="N77" s="11">
        <f t="shared" si="2"/>
        <v>1744225.73</v>
      </c>
    </row>
    <row r="78" spans="1:14" ht="23.25">
      <c r="A78" s="51" t="s">
        <v>100</v>
      </c>
      <c r="B78" s="40" t="s">
        <v>87</v>
      </c>
      <c r="C78" s="11">
        <f>'เม.ย.'!M78</f>
        <v>0</v>
      </c>
      <c r="D78" s="11">
        <f>'เม.ย.'!N78</f>
        <v>20931.02</v>
      </c>
      <c r="E78" s="39"/>
      <c r="F78" s="39"/>
      <c r="G78" s="11"/>
      <c r="H78" s="11"/>
      <c r="I78" s="11"/>
      <c r="J78" s="11"/>
      <c r="K78" s="11"/>
      <c r="L78" s="11"/>
      <c r="M78" s="11">
        <v>0</v>
      </c>
      <c r="N78" s="11">
        <f t="shared" si="2"/>
        <v>20931.02</v>
      </c>
    </row>
    <row r="79" spans="1:14" ht="23.25">
      <c r="A79" s="51" t="s">
        <v>293</v>
      </c>
      <c r="B79" s="40" t="s">
        <v>87</v>
      </c>
      <c r="C79" s="11">
        <f>'เม.ย.'!M79</f>
        <v>0</v>
      </c>
      <c r="D79" s="11">
        <f>'เม.ย.'!N79</f>
        <v>24528.6</v>
      </c>
      <c r="E79" s="39"/>
      <c r="F79" s="39"/>
      <c r="G79" s="11"/>
      <c r="H79" s="11"/>
      <c r="I79" s="11"/>
      <c r="J79" s="11"/>
      <c r="K79" s="11"/>
      <c r="L79" s="11"/>
      <c r="M79" s="11">
        <v>0</v>
      </c>
      <c r="N79" s="11">
        <f t="shared" si="2"/>
        <v>24528.6</v>
      </c>
    </row>
    <row r="80" spans="1:14" ht="23.25">
      <c r="A80" s="51" t="s">
        <v>280</v>
      </c>
      <c r="B80" s="40" t="s">
        <v>88</v>
      </c>
      <c r="C80" s="11">
        <f>'เม.ย.'!M80</f>
        <v>0</v>
      </c>
      <c r="D80" s="11">
        <f>'เม.ย.'!N80</f>
        <v>2.91</v>
      </c>
      <c r="E80" s="39"/>
      <c r="F80" s="39"/>
      <c r="G80" s="11"/>
      <c r="H80" s="11"/>
      <c r="I80" s="11"/>
      <c r="J80" s="11"/>
      <c r="K80" s="11"/>
      <c r="L80" s="11"/>
      <c r="M80" s="11">
        <v>0</v>
      </c>
      <c r="N80" s="11">
        <f t="shared" si="2"/>
        <v>2.91</v>
      </c>
    </row>
    <row r="81" spans="1:14" ht="23.25">
      <c r="A81" s="51" t="s">
        <v>124</v>
      </c>
      <c r="B81" s="40" t="s">
        <v>89</v>
      </c>
      <c r="C81" s="11">
        <f>'เม.ย.'!M81</f>
        <v>0</v>
      </c>
      <c r="D81" s="11">
        <f>'เม.ย.'!N81</f>
        <v>297547</v>
      </c>
      <c r="E81" s="39"/>
      <c r="F81" s="39"/>
      <c r="G81" s="11"/>
      <c r="H81" s="11"/>
      <c r="I81" s="11"/>
      <c r="J81" s="11">
        <v>61415</v>
      </c>
      <c r="K81" s="11"/>
      <c r="L81" s="11"/>
      <c r="M81" s="11">
        <v>0</v>
      </c>
      <c r="N81" s="11">
        <f t="shared" si="2"/>
        <v>358962</v>
      </c>
    </row>
    <row r="82" spans="1:14" ht="23.25">
      <c r="A82" s="51" t="s">
        <v>132</v>
      </c>
      <c r="B82" s="40" t="s">
        <v>133</v>
      </c>
      <c r="C82" s="11">
        <f>'เม.ย.'!M82</f>
        <v>0</v>
      </c>
      <c r="D82" s="11">
        <f>'เม.ย.'!N82</f>
        <v>5000</v>
      </c>
      <c r="E82" s="39"/>
      <c r="F82" s="39"/>
      <c r="G82" s="11"/>
      <c r="H82" s="11"/>
      <c r="I82" s="11"/>
      <c r="J82" s="11"/>
      <c r="K82" s="11"/>
      <c r="L82" s="11"/>
      <c r="M82" s="11">
        <v>0</v>
      </c>
      <c r="N82" s="11">
        <f t="shared" si="2"/>
        <v>5000</v>
      </c>
    </row>
    <row r="83" spans="1:14" ht="23.25">
      <c r="A83" s="51" t="s">
        <v>294</v>
      </c>
      <c r="B83" s="40" t="s">
        <v>90</v>
      </c>
      <c r="C83" s="11">
        <f>'เม.ย.'!M83</f>
        <v>0</v>
      </c>
      <c r="D83" s="11">
        <f>'เม.ย.'!N83</f>
        <v>11860.33</v>
      </c>
      <c r="E83" s="39"/>
      <c r="F83" s="39"/>
      <c r="G83" s="11"/>
      <c r="H83" s="11"/>
      <c r="I83" s="11"/>
      <c r="J83" s="11"/>
      <c r="K83" s="11"/>
      <c r="L83" s="11"/>
      <c r="M83" s="11">
        <v>0</v>
      </c>
      <c r="N83" s="11">
        <f t="shared" si="2"/>
        <v>11860.33</v>
      </c>
    </row>
    <row r="84" spans="1:14" ht="23.25">
      <c r="A84" s="51" t="s">
        <v>295</v>
      </c>
      <c r="B84" s="40" t="s">
        <v>91</v>
      </c>
      <c r="C84" s="11">
        <f>'เม.ย.'!M84</f>
        <v>0</v>
      </c>
      <c r="D84" s="11">
        <f>'เม.ย.'!N84</f>
        <v>7000</v>
      </c>
      <c r="E84" s="39"/>
      <c r="F84" s="39"/>
      <c r="G84" s="11"/>
      <c r="H84" s="11"/>
      <c r="I84" s="11"/>
      <c r="J84" s="11"/>
      <c r="K84" s="11"/>
      <c r="L84" s="11"/>
      <c r="M84" s="11">
        <v>0</v>
      </c>
      <c r="N84" s="11">
        <f t="shared" si="2"/>
        <v>7000</v>
      </c>
    </row>
    <row r="85" spans="1:14" ht="23.25">
      <c r="A85" s="51" t="s">
        <v>104</v>
      </c>
      <c r="B85" s="40" t="s">
        <v>92</v>
      </c>
      <c r="C85" s="11">
        <f>'เม.ย.'!M85</f>
        <v>0</v>
      </c>
      <c r="D85" s="11">
        <f>'เม.ย.'!N85</f>
        <v>28060</v>
      </c>
      <c r="E85" s="39"/>
      <c r="F85" s="39"/>
      <c r="G85" s="11"/>
      <c r="H85" s="11"/>
      <c r="I85" s="11"/>
      <c r="J85" s="11">
        <v>25150</v>
      </c>
      <c r="K85" s="11"/>
      <c r="L85" s="11"/>
      <c r="M85" s="11">
        <v>0</v>
      </c>
      <c r="N85" s="11">
        <f t="shared" si="2"/>
        <v>53210</v>
      </c>
    </row>
    <row r="86" spans="1:14" ht="23.25">
      <c r="A86" s="51" t="s">
        <v>105</v>
      </c>
      <c r="B86" s="40" t="s">
        <v>93</v>
      </c>
      <c r="C86" s="11">
        <f>'เม.ย.'!M86</f>
        <v>0</v>
      </c>
      <c r="D86" s="11">
        <f>'เม.ย.'!N86</f>
        <v>10264971</v>
      </c>
      <c r="E86" s="39"/>
      <c r="F86" s="39"/>
      <c r="G86" s="11"/>
      <c r="H86" s="11"/>
      <c r="I86" s="11"/>
      <c r="J86" s="11"/>
      <c r="K86" s="11"/>
      <c r="L86" s="11"/>
      <c r="M86" s="11">
        <v>0</v>
      </c>
      <c r="N86" s="11">
        <f t="shared" si="2"/>
        <v>10264971</v>
      </c>
    </row>
    <row r="87" spans="1:14" ht="23.25">
      <c r="A87" s="1" t="s">
        <v>106</v>
      </c>
      <c r="B87" s="40" t="s">
        <v>133</v>
      </c>
      <c r="C87" s="11">
        <f>'เม.ย.'!M87</f>
        <v>0</v>
      </c>
      <c r="D87" s="11">
        <f>'เม.ย.'!N87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 t="shared" si="2"/>
        <v>53000</v>
      </c>
    </row>
    <row r="88" spans="1:14" ht="23.25">
      <c r="A88" s="51" t="s">
        <v>140</v>
      </c>
      <c r="B88" s="40" t="s">
        <v>159</v>
      </c>
      <c r="C88" s="11">
        <f>'เม.ย.'!M88</f>
        <v>0</v>
      </c>
      <c r="D88" s="11">
        <f>'เม.ย.'!N88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v>0</v>
      </c>
      <c r="N88" s="11">
        <f t="shared" si="2"/>
        <v>0</v>
      </c>
    </row>
    <row r="89" spans="1:14" ht="23.25">
      <c r="A89" s="1" t="s">
        <v>143</v>
      </c>
      <c r="B89" s="53"/>
      <c r="C89" s="11">
        <f>'เม.ย.'!M89</f>
        <v>0</v>
      </c>
      <c r="D89" s="11">
        <f>'เม.ย.'!N89</f>
        <v>0</v>
      </c>
      <c r="E89" s="39"/>
      <c r="F89" s="39"/>
      <c r="G89" s="39"/>
      <c r="H89" s="39"/>
      <c r="I89" s="39"/>
      <c r="J89" s="39"/>
      <c r="K89" s="39"/>
      <c r="L89" s="39"/>
      <c r="M89" s="11">
        <v>0</v>
      </c>
      <c r="N89" s="11">
        <f t="shared" si="2"/>
        <v>0</v>
      </c>
    </row>
    <row r="90" spans="1:14" ht="23.25">
      <c r="A90" s="282" t="s">
        <v>307</v>
      </c>
      <c r="B90" s="283" t="s">
        <v>168</v>
      </c>
      <c r="C90" s="265">
        <f>'เม.ย.'!M90</f>
        <v>0</v>
      </c>
      <c r="D90" s="11">
        <f>'เม.ย.'!N90</f>
        <v>0</v>
      </c>
      <c r="E90" s="39"/>
      <c r="F90" s="39"/>
      <c r="G90" s="39"/>
      <c r="H90" s="39"/>
      <c r="I90" s="39"/>
      <c r="J90" s="39"/>
      <c r="K90" s="39"/>
      <c r="L90" s="39"/>
      <c r="M90" s="11">
        <v>0</v>
      </c>
      <c r="N90" s="11">
        <f t="shared" si="2"/>
        <v>0</v>
      </c>
    </row>
    <row r="91" spans="1:14" ht="23.25">
      <c r="A91" s="285" t="s">
        <v>308</v>
      </c>
      <c r="B91" s="8" t="s">
        <v>168</v>
      </c>
      <c r="C91" s="11">
        <f>'เม.ย.'!M91</f>
        <v>0</v>
      </c>
      <c r="D91" s="11">
        <f>'เม.ย.'!N91</f>
        <v>53500</v>
      </c>
      <c r="E91" s="39"/>
      <c r="F91" s="39"/>
      <c r="G91" s="13"/>
      <c r="H91" s="13"/>
      <c r="I91" s="13"/>
      <c r="J91" s="13"/>
      <c r="K91" s="13"/>
      <c r="L91" s="13"/>
      <c r="M91" s="11">
        <v>0</v>
      </c>
      <c r="N91" s="11">
        <f t="shared" si="2"/>
        <v>53500</v>
      </c>
    </row>
    <row r="92" spans="1:14" ht="24" thickBot="1">
      <c r="A92" s="46"/>
      <c r="B92" s="50"/>
      <c r="C92" s="42">
        <f aca="true" t="shared" si="3" ref="C92:N92">SUM(C6:C91)</f>
        <v>23800871.359999996</v>
      </c>
      <c r="D92" s="42">
        <f t="shared" si="3"/>
        <v>23800871.36</v>
      </c>
      <c r="E92" s="42">
        <f t="shared" si="3"/>
        <v>1769658.42</v>
      </c>
      <c r="F92" s="42">
        <f t="shared" si="3"/>
        <v>1769658.4200000002</v>
      </c>
      <c r="G92" s="42">
        <f t="shared" si="3"/>
        <v>2126684.39</v>
      </c>
      <c r="H92" s="42">
        <f t="shared" si="3"/>
        <v>2126684.39</v>
      </c>
      <c r="I92" s="42">
        <f t="shared" si="3"/>
        <v>1491110.81</v>
      </c>
      <c r="J92" s="42">
        <f t="shared" si="3"/>
        <v>1491110.81</v>
      </c>
      <c r="K92" s="42">
        <f t="shared" si="3"/>
        <v>1953355.83</v>
      </c>
      <c r="L92" s="42">
        <f t="shared" si="3"/>
        <v>1953355.83</v>
      </c>
      <c r="M92" s="42">
        <f t="shared" si="3"/>
        <v>24987805.759999998</v>
      </c>
      <c r="N92" s="42">
        <f t="shared" si="3"/>
        <v>24987805.759999998</v>
      </c>
    </row>
    <row r="93" spans="1:14" ht="24" thickTop="1">
      <c r="A93" s="3"/>
      <c r="B93" s="4"/>
      <c r="C93" s="15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</row>
    <row r="94" spans="1:53" ht="23.25">
      <c r="A94" s="16"/>
      <c r="B94" s="309"/>
      <c r="C94" s="309"/>
      <c r="D94" s="309"/>
      <c r="E94" s="309"/>
      <c r="F94" s="309"/>
      <c r="G94" s="309"/>
      <c r="H94" s="16"/>
      <c r="I94" s="16"/>
      <c r="J94" s="16"/>
      <c r="K94" s="16"/>
      <c r="L94" s="16"/>
      <c r="M94" s="16"/>
      <c r="N94" s="16"/>
      <c r="AX94" s="5"/>
      <c r="AY94" s="5"/>
      <c r="AZ94" s="5"/>
      <c r="BA94" s="5"/>
    </row>
    <row r="95" spans="1:53" ht="23.25">
      <c r="A95" s="3"/>
      <c r="B95" s="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AX95" s="5"/>
      <c r="AY95" s="5"/>
      <c r="AZ95" s="5"/>
      <c r="BA95" s="5"/>
    </row>
    <row r="96" spans="1:53" ht="23.25">
      <c r="A96" s="16"/>
      <c r="B96" s="309"/>
      <c r="C96" s="309"/>
      <c r="D96" s="309"/>
      <c r="E96" s="309"/>
      <c r="F96" s="309"/>
      <c r="G96" s="309"/>
      <c r="H96" s="16"/>
      <c r="I96" s="309"/>
      <c r="J96" s="309"/>
      <c r="K96" s="309"/>
      <c r="L96" s="16"/>
      <c r="M96" s="16"/>
      <c r="N96" s="16"/>
      <c r="AX96" s="5"/>
      <c r="AY96" s="5"/>
      <c r="AZ96" s="5"/>
      <c r="BA96" s="5"/>
    </row>
    <row r="97" spans="1:53" ht="22.5" customHeight="1">
      <c r="A97" s="16"/>
      <c r="B97" s="309"/>
      <c r="C97" s="309"/>
      <c r="D97" s="309"/>
      <c r="E97" s="309"/>
      <c r="F97" s="309"/>
      <c r="G97" s="309"/>
      <c r="H97" s="16"/>
      <c r="I97" s="309"/>
      <c r="J97" s="309"/>
      <c r="K97" s="309"/>
      <c r="L97" s="16"/>
      <c r="M97" s="16"/>
      <c r="N97" s="16"/>
      <c r="AX97" s="5"/>
      <c r="AY97" s="5"/>
      <c r="AZ97" s="5"/>
      <c r="BA97" s="5"/>
    </row>
    <row r="98" spans="1:14" ht="23.25">
      <c r="A98" s="3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3.25">
      <c r="A99" s="3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3.25">
      <c r="A100" s="3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3.25">
      <c r="A101" s="3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3.25">
      <c r="A102" s="3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23.25">
      <c r="A103" s="3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3.25">
      <c r="A104" s="3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3.25">
      <c r="A105" s="3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3.25">
      <c r="A106" s="3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</sheetData>
  <sheetProtection/>
  <mergeCells count="17">
    <mergeCell ref="I96:K96"/>
    <mergeCell ref="B97:D97"/>
    <mergeCell ref="E97:G97"/>
    <mergeCell ref="I97:K97"/>
    <mergeCell ref="B94:D94"/>
    <mergeCell ref="E94:G94"/>
    <mergeCell ref="B96:D96"/>
    <mergeCell ref="E96:G96"/>
    <mergeCell ref="A1:N1"/>
    <mergeCell ref="A2:N2"/>
    <mergeCell ref="K4:L4"/>
    <mergeCell ref="M4:N4"/>
    <mergeCell ref="A4:A5"/>
    <mergeCell ref="C4:D4"/>
    <mergeCell ref="E4:F4"/>
    <mergeCell ref="G4:H4"/>
    <mergeCell ref="I4:J4"/>
  </mergeCells>
  <printOptions/>
  <pageMargins left="0.38" right="0" top="0.5905511811023623" bottom="0.3937007874015748" header="0" footer="0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106"/>
  <sheetViews>
    <sheetView zoomScalePageLayoutView="0" workbookViewId="0" topLeftCell="A1">
      <pane xSplit="2" ySplit="5" topLeftCell="J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5" sqref="M65"/>
    </sheetView>
  </sheetViews>
  <sheetFormatPr defaultColWidth="9.140625" defaultRowHeight="12.75"/>
  <cols>
    <col min="1" max="1" width="55.7109375" style="5" customWidth="1"/>
    <col min="2" max="2" width="7.7109375" style="5" customWidth="1"/>
    <col min="3" max="3" width="13.57421875" style="9" customWidth="1"/>
    <col min="4" max="14" width="13.7109375" style="9" customWidth="1"/>
    <col min="15" max="30" width="13.7109375" style="5" customWidth="1"/>
  </cols>
  <sheetData>
    <row r="1" spans="1:61" s="19" customFormat="1" ht="23.25">
      <c r="A1" s="304" t="s">
        <v>115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8"/>
      <c r="BD1" s="18"/>
      <c r="BE1" s="18"/>
      <c r="BF1" s="18"/>
      <c r="BG1" s="18"/>
      <c r="BH1" s="18"/>
      <c r="BI1" s="18"/>
    </row>
    <row r="2" spans="1:61" s="19" customFormat="1" ht="23.25">
      <c r="A2" s="304" t="s">
        <v>273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8"/>
      <c r="BD2" s="18"/>
      <c r="BE2" s="18"/>
      <c r="BF2" s="18"/>
      <c r="BG2" s="18"/>
      <c r="BH2" s="18"/>
      <c r="BI2" s="18"/>
    </row>
    <row r="3" spans="1:67" ht="9.75" customHeight="1">
      <c r="A3" s="18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23.25">
      <c r="A4" s="307" t="s">
        <v>0</v>
      </c>
      <c r="B4" s="30" t="s">
        <v>77</v>
      </c>
      <c r="C4" s="305" t="s">
        <v>288</v>
      </c>
      <c r="D4" s="306"/>
      <c r="E4" s="305" t="s">
        <v>1</v>
      </c>
      <c r="F4" s="306"/>
      <c r="G4" s="305" t="s">
        <v>2</v>
      </c>
      <c r="H4" s="306"/>
      <c r="I4" s="305" t="s">
        <v>78</v>
      </c>
      <c r="J4" s="306"/>
      <c r="K4" s="305" t="s">
        <v>37</v>
      </c>
      <c r="L4" s="306"/>
      <c r="M4" s="305" t="s">
        <v>38</v>
      </c>
      <c r="N4" s="306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23.25">
      <c r="A5" s="308"/>
      <c r="B5" s="31" t="s">
        <v>76</v>
      </c>
      <c r="C5" s="29" t="s">
        <v>3</v>
      </c>
      <c r="D5" s="26" t="s">
        <v>4</v>
      </c>
      <c r="E5" s="25" t="s">
        <v>3</v>
      </c>
      <c r="F5" s="26" t="s">
        <v>4</v>
      </c>
      <c r="G5" s="25" t="s">
        <v>3</v>
      </c>
      <c r="H5" s="26" t="s">
        <v>4</v>
      </c>
      <c r="I5" s="25" t="s">
        <v>3</v>
      </c>
      <c r="J5" s="26" t="s">
        <v>4</v>
      </c>
      <c r="K5" s="25" t="s">
        <v>3</v>
      </c>
      <c r="L5" s="26" t="s">
        <v>4</v>
      </c>
      <c r="M5" s="25" t="s">
        <v>3</v>
      </c>
      <c r="N5" s="26" t="s">
        <v>4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14" ht="23.25">
      <c r="A6" s="6" t="s">
        <v>51</v>
      </c>
      <c r="B6" s="7" t="s">
        <v>5</v>
      </c>
      <c r="C6" s="32">
        <f>'พ.ค.'!M6</f>
        <v>0</v>
      </c>
      <c r="D6" s="32">
        <f>'พ.ค.'!N6</f>
        <v>0</v>
      </c>
      <c r="E6" s="10"/>
      <c r="F6" s="10"/>
      <c r="G6" s="10"/>
      <c r="H6" s="10"/>
      <c r="I6" s="10"/>
      <c r="J6" s="10"/>
      <c r="K6" s="10"/>
      <c r="L6" s="10"/>
      <c r="M6" s="11">
        <f aca="true" t="shared" si="0" ref="M6:M67">SUM(C6+E6+G6+I6+K6)-(D6+F6+H6+J6+L6)</f>
        <v>0</v>
      </c>
      <c r="N6" s="11">
        <v>0</v>
      </c>
    </row>
    <row r="7" spans="1:15" ht="23.25">
      <c r="A7" s="1" t="s">
        <v>116</v>
      </c>
      <c r="B7" s="2" t="s">
        <v>6</v>
      </c>
      <c r="C7" s="11">
        <f>'พ.ค.'!M7</f>
        <v>694167.3999999999</v>
      </c>
      <c r="D7" s="11">
        <f>'พ.ค.'!N7</f>
        <v>0</v>
      </c>
      <c r="E7" s="12"/>
      <c r="F7" s="12">
        <v>184772.44</v>
      </c>
      <c r="G7" s="12"/>
      <c r="H7" s="12">
        <v>384062</v>
      </c>
      <c r="I7" s="12"/>
      <c r="J7" s="12"/>
      <c r="K7" s="12"/>
      <c r="L7" s="12"/>
      <c r="M7" s="11">
        <f t="shared" si="0"/>
        <v>125332.95999999996</v>
      </c>
      <c r="N7" s="11">
        <v>0</v>
      </c>
      <c r="O7" s="52">
        <f>125332.96-M7</f>
        <v>0</v>
      </c>
    </row>
    <row r="8" spans="1:15" ht="23.25">
      <c r="A8" s="1" t="s">
        <v>130</v>
      </c>
      <c r="B8" s="2" t="s">
        <v>7</v>
      </c>
      <c r="C8" s="11">
        <f>'พ.ค.'!M8</f>
        <v>570508.51</v>
      </c>
      <c r="D8" s="11">
        <f>'พ.ค.'!N8</f>
        <v>0</v>
      </c>
      <c r="E8" s="11">
        <v>1045.09</v>
      </c>
      <c r="F8" s="11"/>
      <c r="G8" s="11"/>
      <c r="H8" s="11"/>
      <c r="I8" s="11"/>
      <c r="J8" s="11"/>
      <c r="K8" s="11"/>
      <c r="L8" s="11"/>
      <c r="M8" s="11">
        <f t="shared" si="0"/>
        <v>571553.6</v>
      </c>
      <c r="N8" s="11">
        <v>0</v>
      </c>
      <c r="O8" s="52">
        <f>571553.6-M8</f>
        <v>0</v>
      </c>
    </row>
    <row r="9" spans="1:14" ht="23.25">
      <c r="A9" s="1" t="s">
        <v>134</v>
      </c>
      <c r="B9" s="2" t="s">
        <v>7</v>
      </c>
      <c r="C9" s="11">
        <f>'พ.ค.'!M9</f>
        <v>0</v>
      </c>
      <c r="D9" s="11">
        <f>'พ.ค.'!N9</f>
        <v>0</v>
      </c>
      <c r="E9" s="11"/>
      <c r="F9" s="11"/>
      <c r="G9" s="11"/>
      <c r="H9" s="11">
        <v>2997180.98</v>
      </c>
      <c r="I9" s="11"/>
      <c r="J9" s="11"/>
      <c r="K9" s="11">
        <v>2997180.98</v>
      </c>
      <c r="L9" s="11"/>
      <c r="M9" s="11">
        <f t="shared" si="0"/>
        <v>0</v>
      </c>
      <c r="N9" s="11">
        <v>0</v>
      </c>
    </row>
    <row r="10" spans="1:15" ht="23.25">
      <c r="A10" s="1" t="s">
        <v>117</v>
      </c>
      <c r="B10" s="2" t="s">
        <v>8</v>
      </c>
      <c r="C10" s="11">
        <f>'พ.ค.'!M10</f>
        <v>10030180.83</v>
      </c>
      <c r="D10" s="11">
        <f>'พ.ค.'!N10</f>
        <v>0</v>
      </c>
      <c r="E10" s="11">
        <v>3423011.37</v>
      </c>
      <c r="F10" s="11"/>
      <c r="G10" s="11"/>
      <c r="H10" s="11"/>
      <c r="I10" s="11"/>
      <c r="J10" s="11"/>
      <c r="K10" s="11"/>
      <c r="L10" s="11">
        <v>2997180.98</v>
      </c>
      <c r="M10" s="11">
        <f t="shared" si="0"/>
        <v>10456011.219999999</v>
      </c>
      <c r="N10" s="11">
        <v>0</v>
      </c>
      <c r="O10" s="52">
        <f>10544109.36-M10</f>
        <v>88098.1400000006</v>
      </c>
    </row>
    <row r="11" spans="1:15" ht="23.25">
      <c r="A11" s="1" t="s">
        <v>128</v>
      </c>
      <c r="B11" s="2" t="s">
        <v>8</v>
      </c>
      <c r="C11" s="11">
        <f>'พ.ค.'!M11</f>
        <v>1202896.77</v>
      </c>
      <c r="D11" s="11">
        <f>'พ.ค.'!N11</f>
        <v>0</v>
      </c>
      <c r="E11" s="11">
        <v>5200</v>
      </c>
      <c r="F11" s="11"/>
      <c r="G11" s="11"/>
      <c r="H11" s="11"/>
      <c r="I11" s="11"/>
      <c r="J11" s="11"/>
      <c r="K11" s="11"/>
      <c r="L11" s="11"/>
      <c r="M11" s="11">
        <f t="shared" si="0"/>
        <v>1208096.77</v>
      </c>
      <c r="N11" s="11">
        <v>0</v>
      </c>
      <c r="O11" s="52">
        <f>1208096.77-M11</f>
        <v>0</v>
      </c>
    </row>
    <row r="12" spans="1:15" ht="23.25">
      <c r="A12" s="1" t="s">
        <v>131</v>
      </c>
      <c r="B12" s="2" t="s">
        <v>8</v>
      </c>
      <c r="C12" s="11">
        <f>'พ.ค.'!M12</f>
        <v>1621.45</v>
      </c>
      <c r="D12" s="11">
        <f>'พ.ค.'!N12</f>
        <v>0</v>
      </c>
      <c r="E12" s="11"/>
      <c r="F12" s="11"/>
      <c r="G12" s="11"/>
      <c r="H12" s="11"/>
      <c r="I12" s="11"/>
      <c r="J12" s="11"/>
      <c r="K12" s="11"/>
      <c r="L12" s="11"/>
      <c r="M12" s="11">
        <f t="shared" si="0"/>
        <v>1621.45</v>
      </c>
      <c r="N12" s="11">
        <v>0</v>
      </c>
      <c r="O12" s="52">
        <f>1621.45-M12</f>
        <v>0</v>
      </c>
    </row>
    <row r="13" spans="1:16" ht="23.25">
      <c r="A13" s="1" t="s">
        <v>39</v>
      </c>
      <c r="B13" s="2" t="s">
        <v>40</v>
      </c>
      <c r="C13" s="11">
        <f>'พ.ค.'!M13</f>
        <v>42795</v>
      </c>
      <c r="D13" s="11">
        <f>'พ.ค.'!N13</f>
        <v>0</v>
      </c>
      <c r="E13" s="11"/>
      <c r="F13" s="225">
        <v>12000</v>
      </c>
      <c r="G13" s="11">
        <v>165560</v>
      </c>
      <c r="H13" s="11"/>
      <c r="I13" s="11"/>
      <c r="J13" s="11"/>
      <c r="K13" s="11"/>
      <c r="L13" s="11">
        <v>163560</v>
      </c>
      <c r="M13" s="11">
        <f t="shared" si="0"/>
        <v>32795</v>
      </c>
      <c r="N13" s="11">
        <v>0</v>
      </c>
      <c r="O13" s="52">
        <f>K13-'พ.ค.'!N13</f>
        <v>0</v>
      </c>
      <c r="P13" s="279">
        <v>30000</v>
      </c>
    </row>
    <row r="14" spans="1:16" ht="23.25">
      <c r="A14" s="1" t="s">
        <v>110</v>
      </c>
      <c r="B14" s="2" t="s">
        <v>111</v>
      </c>
      <c r="C14" s="11">
        <f>'พ.ค.'!M14</f>
        <v>0</v>
      </c>
      <c r="D14" s="11">
        <f>'พ.ค.'!N14</f>
        <v>0</v>
      </c>
      <c r="E14" s="11"/>
      <c r="F14" s="11"/>
      <c r="G14" s="11"/>
      <c r="H14" s="11"/>
      <c r="I14" s="11"/>
      <c r="J14" s="11"/>
      <c r="K14" s="11"/>
      <c r="L14" s="11"/>
      <c r="M14" s="11">
        <f t="shared" si="0"/>
        <v>0</v>
      </c>
      <c r="N14" s="11">
        <v>0</v>
      </c>
      <c r="P14" s="279">
        <f>2000+295+500</f>
        <v>2795</v>
      </c>
    </row>
    <row r="15" spans="1:16" ht="23.25">
      <c r="A15" s="1" t="s">
        <v>52</v>
      </c>
      <c r="B15" s="2" t="s">
        <v>9</v>
      </c>
      <c r="C15" s="11">
        <f>'พ.ค.'!M15</f>
        <v>327491</v>
      </c>
      <c r="D15" s="11">
        <f>'พ.ค.'!N15</f>
        <v>0</v>
      </c>
      <c r="E15" s="11"/>
      <c r="F15" s="11"/>
      <c r="G15" s="11">
        <v>31796</v>
      </c>
      <c r="H15" s="11"/>
      <c r="I15" s="11"/>
      <c r="J15" s="11"/>
      <c r="K15" s="11"/>
      <c r="L15" s="11"/>
      <c r="M15" s="11">
        <f t="shared" si="0"/>
        <v>359287</v>
      </c>
      <c r="N15" s="11">
        <v>0</v>
      </c>
      <c r="P15" s="280"/>
    </row>
    <row r="16" spans="1:16" ht="23.25">
      <c r="A16" s="6" t="s">
        <v>10</v>
      </c>
      <c r="B16" s="7" t="s">
        <v>11</v>
      </c>
      <c r="C16" s="11">
        <f>'พ.ค.'!M16</f>
        <v>1811115</v>
      </c>
      <c r="D16" s="11">
        <f>'พ.ค.'!N16</f>
        <v>0</v>
      </c>
      <c r="E16" s="11"/>
      <c r="F16" s="11"/>
      <c r="G16" s="11">
        <v>226780</v>
      </c>
      <c r="H16" s="11"/>
      <c r="I16" s="11"/>
      <c r="J16" s="11"/>
      <c r="K16" s="11"/>
      <c r="L16" s="11"/>
      <c r="M16" s="11">
        <f t="shared" si="0"/>
        <v>2037895</v>
      </c>
      <c r="N16" s="11">
        <v>0</v>
      </c>
      <c r="O16" s="52"/>
      <c r="P16" s="279"/>
    </row>
    <row r="17" spans="1:16" ht="23.25">
      <c r="A17" s="1" t="s">
        <v>12</v>
      </c>
      <c r="B17" s="2" t="s">
        <v>13</v>
      </c>
      <c r="C17" s="11">
        <f>'พ.ค.'!M17</f>
        <v>0</v>
      </c>
      <c r="D17" s="11">
        <f>'พ.ค.'!N17</f>
        <v>0</v>
      </c>
      <c r="E17" s="11"/>
      <c r="F17" s="11"/>
      <c r="G17" s="11"/>
      <c r="H17" s="11"/>
      <c r="I17" s="11"/>
      <c r="J17" s="11"/>
      <c r="K17" s="11"/>
      <c r="L17" s="11"/>
      <c r="M17" s="11">
        <f t="shared" si="0"/>
        <v>0</v>
      </c>
      <c r="N17" s="11">
        <f aca="true" t="shared" si="1" ref="N17:N71">SUM(D17+F17+H17+J17+L17)-(C17+E17+G17+I17+K17)</f>
        <v>0</v>
      </c>
      <c r="P17" s="279">
        <f>SUM(P13:P16)</f>
        <v>32795</v>
      </c>
    </row>
    <row r="18" spans="1:14" ht="23.25">
      <c r="A18" s="1" t="s">
        <v>14</v>
      </c>
      <c r="B18" s="2" t="s">
        <v>15</v>
      </c>
      <c r="C18" s="11">
        <f>'พ.ค.'!M18</f>
        <v>1085920</v>
      </c>
      <c r="D18" s="11">
        <f>'พ.ค.'!N18</f>
        <v>0</v>
      </c>
      <c r="E18" s="11"/>
      <c r="F18" s="11"/>
      <c r="G18" s="11">
        <v>135740</v>
      </c>
      <c r="H18" s="11"/>
      <c r="I18" s="11"/>
      <c r="J18" s="11"/>
      <c r="K18" s="11"/>
      <c r="L18" s="11"/>
      <c r="M18" s="11">
        <f t="shared" si="0"/>
        <v>1221660</v>
      </c>
      <c r="N18" s="11">
        <v>0</v>
      </c>
    </row>
    <row r="19" spans="1:14" ht="23.25">
      <c r="A19" s="1" t="s">
        <v>16</v>
      </c>
      <c r="B19" s="2" t="s">
        <v>17</v>
      </c>
      <c r="C19" s="11">
        <f>'พ.ค.'!M19</f>
        <v>2237394</v>
      </c>
      <c r="D19" s="11">
        <f>'พ.ค.'!N19</f>
        <v>0</v>
      </c>
      <c r="E19" s="11"/>
      <c r="F19" s="11"/>
      <c r="G19" s="11">
        <v>282254</v>
      </c>
      <c r="H19" s="11"/>
      <c r="I19" s="11"/>
      <c r="J19" s="11"/>
      <c r="K19" s="11"/>
      <c r="L19" s="11"/>
      <c r="M19" s="11">
        <f t="shared" si="0"/>
        <v>2519648</v>
      </c>
      <c r="N19" s="11">
        <v>0</v>
      </c>
    </row>
    <row r="20" spans="1:14" ht="23.25">
      <c r="A20" s="1" t="s">
        <v>18</v>
      </c>
      <c r="B20" s="2" t="s">
        <v>19</v>
      </c>
      <c r="C20" s="11">
        <f>'พ.ค.'!M20</f>
        <v>2627655.2</v>
      </c>
      <c r="D20" s="11">
        <f>'พ.ค.'!N20</f>
        <v>0</v>
      </c>
      <c r="E20" s="11"/>
      <c r="F20" s="11"/>
      <c r="G20" s="11">
        <v>210379.44</v>
      </c>
      <c r="H20" s="11"/>
      <c r="I20" s="11"/>
      <c r="J20" s="11"/>
      <c r="K20" s="11">
        <v>163560</v>
      </c>
      <c r="L20" s="11"/>
      <c r="M20" s="11">
        <f t="shared" si="0"/>
        <v>3001594.64</v>
      </c>
      <c r="N20" s="11">
        <v>0</v>
      </c>
    </row>
    <row r="21" spans="1:14" ht="23.25">
      <c r="A21" s="1" t="s">
        <v>20</v>
      </c>
      <c r="B21" s="2" t="s">
        <v>21</v>
      </c>
      <c r="C21" s="11">
        <f>'พ.ค.'!M21</f>
        <v>1389162.45</v>
      </c>
      <c r="D21" s="11">
        <f>'พ.ค.'!N21</f>
        <v>0</v>
      </c>
      <c r="E21" s="12"/>
      <c r="F21" s="12"/>
      <c r="G21" s="12">
        <v>91470</v>
      </c>
      <c r="H21" s="12"/>
      <c r="I21" s="12"/>
      <c r="J21" s="12"/>
      <c r="K21" s="12"/>
      <c r="L21" s="12"/>
      <c r="M21" s="11">
        <f t="shared" si="0"/>
        <v>1480632.45</v>
      </c>
      <c r="N21" s="11">
        <v>0</v>
      </c>
    </row>
    <row r="22" spans="1:14" ht="23.25">
      <c r="A22" s="1" t="s">
        <v>22</v>
      </c>
      <c r="B22" s="2" t="s">
        <v>23</v>
      </c>
      <c r="C22" s="11">
        <f>'พ.ค.'!M22</f>
        <v>84803.15</v>
      </c>
      <c r="D22" s="11">
        <f>'พ.ค.'!N22</f>
        <v>0</v>
      </c>
      <c r="E22" s="11"/>
      <c r="F22" s="11"/>
      <c r="G22" s="11">
        <v>14937.54</v>
      </c>
      <c r="H22" s="11"/>
      <c r="I22" s="11"/>
      <c r="J22" s="11"/>
      <c r="K22" s="11"/>
      <c r="L22" s="11"/>
      <c r="M22" s="11">
        <f t="shared" si="0"/>
        <v>99740.69</v>
      </c>
      <c r="N22" s="11">
        <v>0</v>
      </c>
    </row>
    <row r="23" spans="1:14" ht="23.25">
      <c r="A23" s="1" t="s">
        <v>24</v>
      </c>
      <c r="B23" s="2" t="s">
        <v>25</v>
      </c>
      <c r="C23" s="11">
        <f>'พ.ค.'!M23</f>
        <v>2507000</v>
      </c>
      <c r="D23" s="11">
        <f>'พ.ค.'!N23</f>
        <v>0</v>
      </c>
      <c r="E23" s="11"/>
      <c r="F23" s="11"/>
      <c r="G23" s="11"/>
      <c r="H23" s="11"/>
      <c r="I23" s="11"/>
      <c r="J23" s="11"/>
      <c r="K23" s="11"/>
      <c r="L23" s="11"/>
      <c r="M23" s="11">
        <f t="shared" si="0"/>
        <v>2507000</v>
      </c>
      <c r="N23" s="11">
        <v>0</v>
      </c>
    </row>
    <row r="24" spans="1:14" ht="23.25">
      <c r="A24" s="1" t="s">
        <v>26</v>
      </c>
      <c r="B24" s="2" t="s">
        <v>27</v>
      </c>
      <c r="C24" s="11">
        <f>'พ.ค.'!M24</f>
        <v>4536</v>
      </c>
      <c r="D24" s="11">
        <f>'พ.ค.'!N24</f>
        <v>0</v>
      </c>
      <c r="E24" s="11"/>
      <c r="F24" s="11"/>
      <c r="G24" s="11">
        <v>73060</v>
      </c>
      <c r="H24" s="11"/>
      <c r="I24" s="11"/>
      <c r="J24" s="11"/>
      <c r="K24" s="11"/>
      <c r="L24" s="11"/>
      <c r="M24" s="11">
        <f t="shared" si="0"/>
        <v>77596</v>
      </c>
      <c r="N24" s="11">
        <v>0</v>
      </c>
    </row>
    <row r="25" spans="1:14" ht="23.25">
      <c r="A25" s="1" t="s">
        <v>28</v>
      </c>
      <c r="B25" s="2" t="s">
        <v>29</v>
      </c>
      <c r="C25" s="11">
        <f>'พ.ค.'!M25</f>
        <v>95000</v>
      </c>
      <c r="D25" s="11">
        <f>'พ.ค.'!N25</f>
        <v>0</v>
      </c>
      <c r="E25" s="11"/>
      <c r="F25" s="11"/>
      <c r="G25" s="11"/>
      <c r="H25" s="11"/>
      <c r="I25" s="11"/>
      <c r="J25" s="11"/>
      <c r="K25" s="11"/>
      <c r="L25" s="11"/>
      <c r="M25" s="11">
        <f t="shared" si="0"/>
        <v>95000</v>
      </c>
      <c r="N25" s="11">
        <v>0</v>
      </c>
    </row>
    <row r="26" spans="1:14" ht="23.25">
      <c r="A26" s="1" t="s">
        <v>113</v>
      </c>
      <c r="B26" s="2" t="s">
        <v>114</v>
      </c>
      <c r="C26" s="11">
        <f>'พ.ค.'!M26</f>
        <v>54000</v>
      </c>
      <c r="D26" s="11">
        <f>'พ.ค.'!N26</f>
        <v>0</v>
      </c>
      <c r="E26" s="11"/>
      <c r="F26" s="11"/>
      <c r="G26" s="11"/>
      <c r="H26" s="11"/>
      <c r="I26" s="11"/>
      <c r="J26" s="11"/>
      <c r="K26" s="11"/>
      <c r="L26" s="11"/>
      <c r="M26" s="11">
        <f t="shared" si="0"/>
        <v>54000</v>
      </c>
      <c r="N26" s="11">
        <v>0</v>
      </c>
    </row>
    <row r="27" spans="1:14" ht="23.25">
      <c r="A27" s="1" t="s">
        <v>41</v>
      </c>
      <c r="B27" s="2" t="s">
        <v>42</v>
      </c>
      <c r="C27" s="11">
        <f>'พ.ค.'!M27</f>
        <v>0</v>
      </c>
      <c r="D27" s="11">
        <f>'พ.ค.'!N27</f>
        <v>0</v>
      </c>
      <c r="E27" s="11"/>
      <c r="F27" s="11"/>
      <c r="G27" s="11"/>
      <c r="H27" s="11"/>
      <c r="I27" s="11"/>
      <c r="J27" s="11"/>
      <c r="K27" s="11"/>
      <c r="L27" s="11"/>
      <c r="M27" s="11">
        <v>0</v>
      </c>
      <c r="N27" s="11">
        <f t="shared" si="1"/>
        <v>0</v>
      </c>
    </row>
    <row r="28" spans="1:14" ht="23.25">
      <c r="A28" s="1" t="s">
        <v>44</v>
      </c>
      <c r="B28" s="2" t="s">
        <v>30</v>
      </c>
      <c r="C28" s="11">
        <f>'พ.ค.'!M28</f>
        <v>0</v>
      </c>
      <c r="D28" s="11">
        <f>'พ.ค.'!N28</f>
        <v>2875247.9099999997</v>
      </c>
      <c r="E28" s="11"/>
      <c r="F28" s="264"/>
      <c r="G28" s="11"/>
      <c r="H28" s="11"/>
      <c r="I28" s="11"/>
      <c r="J28" s="11"/>
      <c r="K28" s="11"/>
      <c r="L28" s="11"/>
      <c r="M28" s="11">
        <v>0</v>
      </c>
      <c r="N28" s="11">
        <f t="shared" si="1"/>
        <v>2875247.9099999997</v>
      </c>
    </row>
    <row r="29" spans="1:14" ht="23.25">
      <c r="A29" s="1" t="s">
        <v>45</v>
      </c>
      <c r="B29" s="2" t="s">
        <v>43</v>
      </c>
      <c r="C29" s="11">
        <f>'พ.ค.'!M29</f>
        <v>0</v>
      </c>
      <c r="D29" s="11">
        <f>'พ.ค.'!N29</f>
        <v>1294506.39</v>
      </c>
      <c r="E29" s="11"/>
      <c r="F29" s="11"/>
      <c r="G29" s="11"/>
      <c r="H29" s="11"/>
      <c r="I29" s="11"/>
      <c r="J29" s="11"/>
      <c r="K29" s="11"/>
      <c r="L29" s="11"/>
      <c r="M29" s="11">
        <v>0</v>
      </c>
      <c r="N29" s="11">
        <f t="shared" si="1"/>
        <v>1294506.39</v>
      </c>
    </row>
    <row r="30" spans="1:14" ht="23.25">
      <c r="A30" s="1" t="s">
        <v>53</v>
      </c>
      <c r="B30" s="2" t="s">
        <v>31</v>
      </c>
      <c r="C30" s="11">
        <f>'พ.ค.'!M30</f>
        <v>0</v>
      </c>
      <c r="D30" s="11">
        <f>'พ.ค.'!N30</f>
        <v>0</v>
      </c>
      <c r="E30" s="11"/>
      <c r="F30" s="11"/>
      <c r="G30" s="11"/>
      <c r="H30" s="11"/>
      <c r="I30" s="11"/>
      <c r="J30" s="11"/>
      <c r="K30" s="11"/>
      <c r="L30" s="11"/>
      <c r="M30" s="11">
        <v>0</v>
      </c>
      <c r="N30" s="11">
        <f t="shared" si="1"/>
        <v>0</v>
      </c>
    </row>
    <row r="31" spans="1:14" ht="23.25">
      <c r="A31" s="1" t="s">
        <v>32</v>
      </c>
      <c r="B31" s="2" t="s">
        <v>33</v>
      </c>
      <c r="C31" s="11">
        <f>'พ.ค.'!M31</f>
        <v>0</v>
      </c>
      <c r="D31" s="11">
        <f>'พ.ค.'!N31</f>
        <v>0</v>
      </c>
      <c r="E31" s="11"/>
      <c r="F31" s="11">
        <v>1196984.02</v>
      </c>
      <c r="G31" s="11"/>
      <c r="H31" s="11"/>
      <c r="I31" s="11">
        <v>1196984.02</v>
      </c>
      <c r="J31" s="11"/>
      <c r="K31" s="11"/>
      <c r="L31" s="11"/>
      <c r="M31" s="11">
        <v>0</v>
      </c>
      <c r="N31" s="11">
        <f t="shared" si="1"/>
        <v>0</v>
      </c>
    </row>
    <row r="32" spans="1:14" ht="23.25">
      <c r="A32" s="1" t="s">
        <v>35</v>
      </c>
      <c r="B32" s="2" t="s">
        <v>46</v>
      </c>
      <c r="C32" s="11">
        <f>'พ.ค.'!M32</f>
        <v>0</v>
      </c>
      <c r="D32" s="11">
        <f>'พ.ค.'!N32</f>
        <v>0</v>
      </c>
      <c r="E32" s="11"/>
      <c r="F32" s="11"/>
      <c r="G32" s="11"/>
      <c r="H32" s="11"/>
      <c r="I32" s="11"/>
      <c r="J32" s="11"/>
      <c r="K32" s="11"/>
      <c r="L32" s="11"/>
      <c r="M32" s="11">
        <v>0</v>
      </c>
      <c r="N32" s="11">
        <f t="shared" si="1"/>
        <v>0</v>
      </c>
    </row>
    <row r="33" spans="1:14" ht="23.25">
      <c r="A33" s="1" t="s">
        <v>136</v>
      </c>
      <c r="B33" s="2" t="s">
        <v>47</v>
      </c>
      <c r="C33" s="11">
        <f>'พ.ค.'!M33</f>
        <v>0</v>
      </c>
      <c r="D33" s="11">
        <f>'พ.ค.'!N33</f>
        <v>0</v>
      </c>
      <c r="E33" s="11"/>
      <c r="F33" s="11"/>
      <c r="G33" s="11"/>
      <c r="H33" s="11"/>
      <c r="I33" s="11"/>
      <c r="J33" s="11"/>
      <c r="K33" s="11"/>
      <c r="L33" s="11"/>
      <c r="M33" s="11">
        <f t="shared" si="0"/>
        <v>0</v>
      </c>
      <c r="N33" s="11">
        <f t="shared" si="1"/>
        <v>0</v>
      </c>
    </row>
    <row r="34" spans="1:14" ht="23.25">
      <c r="A34" s="1" t="s">
        <v>107</v>
      </c>
      <c r="B34" s="2">
        <v>902</v>
      </c>
      <c r="C34" s="11">
        <f>'พ.ค.'!M34</f>
        <v>0</v>
      </c>
      <c r="D34" s="11">
        <f>'พ.ค.'!N34</f>
        <v>0</v>
      </c>
      <c r="E34" s="11"/>
      <c r="F34" s="11"/>
      <c r="G34" s="11"/>
      <c r="H34" s="11"/>
      <c r="I34" s="11"/>
      <c r="J34" s="11"/>
      <c r="K34" s="11"/>
      <c r="L34" s="11"/>
      <c r="M34" s="11">
        <f t="shared" si="0"/>
        <v>0</v>
      </c>
      <c r="N34" s="11">
        <v>0</v>
      </c>
    </row>
    <row r="35" spans="1:14" ht="23.25">
      <c r="A35" s="1" t="s">
        <v>48</v>
      </c>
      <c r="B35" s="2">
        <v>902</v>
      </c>
      <c r="C35" s="11">
        <f>'พ.ค.'!M35</f>
        <v>0</v>
      </c>
      <c r="D35" s="11">
        <f>'พ.ค.'!N35</f>
        <v>4753.5599999999995</v>
      </c>
      <c r="E35" s="11"/>
      <c r="F35" s="11"/>
      <c r="G35" s="11">
        <v>4753.56</v>
      </c>
      <c r="H35" s="11">
        <v>19197.96</v>
      </c>
      <c r="I35" s="11"/>
      <c r="J35" s="11"/>
      <c r="K35" s="11"/>
      <c r="L35" s="11"/>
      <c r="M35" s="11">
        <v>0</v>
      </c>
      <c r="N35" s="11">
        <f t="shared" si="1"/>
        <v>19197.959999999995</v>
      </c>
    </row>
    <row r="36" spans="1:14" ht="23.25">
      <c r="A36" s="6" t="s">
        <v>72</v>
      </c>
      <c r="B36" s="7">
        <v>903</v>
      </c>
      <c r="C36" s="11">
        <f>'พ.ค.'!M36</f>
        <v>0</v>
      </c>
      <c r="D36" s="11">
        <f>'พ.ค.'!N36</f>
        <v>661376.5</v>
      </c>
      <c r="E36" s="11"/>
      <c r="F36" s="11"/>
      <c r="G36" s="11"/>
      <c r="H36" s="11"/>
      <c r="I36" s="11"/>
      <c r="J36" s="11"/>
      <c r="K36" s="11"/>
      <c r="L36" s="11"/>
      <c r="M36" s="11">
        <v>0</v>
      </c>
      <c r="N36" s="11">
        <f t="shared" si="1"/>
        <v>661376.5</v>
      </c>
    </row>
    <row r="37" spans="1:14" ht="23.25">
      <c r="A37" s="1" t="s">
        <v>73</v>
      </c>
      <c r="B37" s="2">
        <v>904</v>
      </c>
      <c r="C37" s="11">
        <f>'พ.ค.'!M37</f>
        <v>1690</v>
      </c>
      <c r="D37" s="11">
        <f>'พ.ค.'!N37</f>
        <v>0</v>
      </c>
      <c r="E37" s="11"/>
      <c r="F37" s="11"/>
      <c r="G37" s="11"/>
      <c r="H37" s="11"/>
      <c r="I37" s="11"/>
      <c r="J37" s="11"/>
      <c r="K37" s="11"/>
      <c r="L37" s="11"/>
      <c r="M37" s="11">
        <f t="shared" si="0"/>
        <v>1690</v>
      </c>
      <c r="N37" s="11">
        <v>0</v>
      </c>
    </row>
    <row r="38" spans="1:14" ht="23.25">
      <c r="A38" s="1" t="s">
        <v>74</v>
      </c>
      <c r="B38" s="2" t="s">
        <v>49</v>
      </c>
      <c r="C38" s="11">
        <f>'พ.ค.'!M38</f>
        <v>0</v>
      </c>
      <c r="D38" s="11">
        <f>'พ.ค.'!N38</f>
        <v>4032</v>
      </c>
      <c r="E38" s="11"/>
      <c r="F38" s="11"/>
      <c r="G38" s="11">
        <v>4032</v>
      </c>
      <c r="H38" s="11"/>
      <c r="I38" s="11"/>
      <c r="J38" s="11"/>
      <c r="K38" s="11"/>
      <c r="L38" s="11"/>
      <c r="M38" s="11">
        <v>0</v>
      </c>
      <c r="N38" s="11">
        <f t="shared" si="1"/>
        <v>0</v>
      </c>
    </row>
    <row r="39" spans="1:14" ht="23.25">
      <c r="A39" s="1" t="s">
        <v>75</v>
      </c>
      <c r="B39" s="2" t="s">
        <v>50</v>
      </c>
      <c r="C39" s="11">
        <f>'พ.ค.'!M39</f>
        <v>0</v>
      </c>
      <c r="D39" s="11">
        <f>'พ.ค.'!N39</f>
        <v>4838.400000000001</v>
      </c>
      <c r="E39" s="11"/>
      <c r="F39" s="11"/>
      <c r="G39" s="11">
        <v>4838.4</v>
      </c>
      <c r="H39" s="11"/>
      <c r="I39" s="11"/>
      <c r="J39" s="11"/>
      <c r="K39" s="11"/>
      <c r="L39" s="11"/>
      <c r="M39" s="11">
        <v>0</v>
      </c>
      <c r="N39" s="11">
        <f t="shared" si="1"/>
        <v>0</v>
      </c>
    </row>
    <row r="40" spans="1:14" ht="23.25">
      <c r="A40" s="1" t="s">
        <v>54</v>
      </c>
      <c r="B40" s="2">
        <v>900</v>
      </c>
      <c r="C40" s="11">
        <f>'พ.ค.'!M40</f>
        <v>0</v>
      </c>
      <c r="D40" s="11">
        <f>'พ.ค.'!N40</f>
        <v>0</v>
      </c>
      <c r="E40" s="12"/>
      <c r="F40" s="12"/>
      <c r="G40" s="12"/>
      <c r="H40" s="12"/>
      <c r="I40" s="12"/>
      <c r="J40" s="12"/>
      <c r="K40" s="12"/>
      <c r="L40" s="12"/>
      <c r="M40" s="11">
        <f t="shared" si="0"/>
        <v>0</v>
      </c>
      <c r="N40" s="11">
        <f t="shared" si="1"/>
        <v>0</v>
      </c>
    </row>
    <row r="41" spans="1:14" ht="23.25">
      <c r="A41" s="1" t="s">
        <v>55</v>
      </c>
      <c r="B41" s="2">
        <v>900</v>
      </c>
      <c r="C41" s="11">
        <f>'พ.ค.'!M41</f>
        <v>0</v>
      </c>
      <c r="D41" s="11">
        <f>'พ.ค.'!N41</f>
        <v>0</v>
      </c>
      <c r="E41" s="11"/>
      <c r="F41" s="11"/>
      <c r="G41" s="11"/>
      <c r="H41" s="11"/>
      <c r="I41" s="11"/>
      <c r="J41" s="11"/>
      <c r="K41" s="11"/>
      <c r="L41" s="11"/>
      <c r="M41" s="11">
        <f t="shared" si="0"/>
        <v>0</v>
      </c>
      <c r="N41" s="11">
        <v>0</v>
      </c>
    </row>
    <row r="42" spans="1:14" ht="23.25">
      <c r="A42" s="1" t="s">
        <v>56</v>
      </c>
      <c r="B42" s="2">
        <v>900</v>
      </c>
      <c r="C42" s="11">
        <f>'พ.ค.'!M42</f>
        <v>0</v>
      </c>
      <c r="D42" s="11">
        <f>'พ.ค.'!N42</f>
        <v>0</v>
      </c>
      <c r="E42" s="11"/>
      <c r="F42" s="11"/>
      <c r="G42" s="11"/>
      <c r="H42" s="11"/>
      <c r="I42" s="11"/>
      <c r="J42" s="11"/>
      <c r="K42" s="11"/>
      <c r="L42" s="11"/>
      <c r="M42" s="11">
        <f t="shared" si="0"/>
        <v>0</v>
      </c>
      <c r="N42" s="11">
        <f t="shared" si="1"/>
        <v>0</v>
      </c>
    </row>
    <row r="43" spans="1:14" ht="23.25">
      <c r="A43" s="1" t="s">
        <v>56</v>
      </c>
      <c r="B43" s="2">
        <v>900</v>
      </c>
      <c r="C43" s="11">
        <f>'พ.ค.'!M43</f>
        <v>0</v>
      </c>
      <c r="D43" s="11">
        <f>'พ.ค.'!N43</f>
        <v>0</v>
      </c>
      <c r="E43" s="11"/>
      <c r="F43" s="11"/>
      <c r="G43" s="11"/>
      <c r="H43" s="11"/>
      <c r="I43" s="11"/>
      <c r="J43" s="11"/>
      <c r="K43" s="11"/>
      <c r="L43" s="11"/>
      <c r="M43" s="11">
        <f t="shared" si="0"/>
        <v>0</v>
      </c>
      <c r="N43" s="11">
        <f t="shared" si="1"/>
        <v>0</v>
      </c>
    </row>
    <row r="44" spans="1:16" ht="23.25">
      <c r="A44" s="1" t="s">
        <v>57</v>
      </c>
      <c r="B44" s="7" t="s">
        <v>34</v>
      </c>
      <c r="C44" s="11">
        <f>'พ.ค.'!M44</f>
        <v>168900</v>
      </c>
      <c r="D44" s="11">
        <f>'พ.ค.'!N44</f>
        <v>0</v>
      </c>
      <c r="E44" s="11"/>
      <c r="F44" s="11"/>
      <c r="G44" s="11">
        <v>33780</v>
      </c>
      <c r="H44" s="11"/>
      <c r="I44" s="11"/>
      <c r="J44" s="11"/>
      <c r="K44" s="11"/>
      <c r="L44" s="11"/>
      <c r="M44" s="11">
        <f t="shared" si="0"/>
        <v>202680</v>
      </c>
      <c r="N44" s="11">
        <v>0</v>
      </c>
      <c r="P44" s="52">
        <f>M44+M45+M46</f>
        <v>266409</v>
      </c>
    </row>
    <row r="45" spans="1:14" ht="23.25">
      <c r="A45" s="6" t="s">
        <v>58</v>
      </c>
      <c r="B45" s="2">
        <v>900</v>
      </c>
      <c r="C45" s="11">
        <f>'พ.ค.'!M45</f>
        <v>42300</v>
      </c>
      <c r="D45" s="11">
        <f>'พ.ค.'!N45</f>
        <v>0</v>
      </c>
      <c r="E45" s="11"/>
      <c r="F45" s="11"/>
      <c r="G45" s="11">
        <v>8460</v>
      </c>
      <c r="H45" s="11"/>
      <c r="I45" s="11"/>
      <c r="J45" s="11"/>
      <c r="K45" s="11"/>
      <c r="L45" s="11"/>
      <c r="M45" s="11">
        <f t="shared" si="0"/>
        <v>50760</v>
      </c>
      <c r="N45" s="11">
        <v>0</v>
      </c>
    </row>
    <row r="46" spans="1:14" ht="23.25">
      <c r="A46" s="1" t="s">
        <v>158</v>
      </c>
      <c r="B46" s="2">
        <v>900</v>
      </c>
      <c r="C46" s="11">
        <f>'พ.ค.'!M46</f>
        <v>8669</v>
      </c>
      <c r="D46" s="11">
        <f>'พ.ค.'!N46</f>
        <v>0</v>
      </c>
      <c r="E46" s="11"/>
      <c r="F46" s="11"/>
      <c r="G46" s="11">
        <v>4300</v>
      </c>
      <c r="H46" s="11"/>
      <c r="I46" s="11"/>
      <c r="J46" s="11"/>
      <c r="K46" s="11"/>
      <c r="L46" s="11"/>
      <c r="M46" s="11">
        <f t="shared" si="0"/>
        <v>12969</v>
      </c>
      <c r="N46" s="11">
        <v>0</v>
      </c>
    </row>
    <row r="47" spans="1:14" ht="23.25">
      <c r="A47" s="1" t="s">
        <v>166</v>
      </c>
      <c r="B47" s="2">
        <v>900</v>
      </c>
      <c r="C47" s="11">
        <f>'พ.ค.'!M47</f>
        <v>0</v>
      </c>
      <c r="D47" s="11">
        <f>'พ.ค.'!N47</f>
        <v>0</v>
      </c>
      <c r="E47" s="11"/>
      <c r="F47" s="11"/>
      <c r="G47" s="11"/>
      <c r="H47" s="11"/>
      <c r="I47" s="11"/>
      <c r="J47" s="11"/>
      <c r="K47" s="11"/>
      <c r="L47" s="11"/>
      <c r="M47" s="11">
        <f t="shared" si="0"/>
        <v>0</v>
      </c>
      <c r="N47" s="11">
        <f t="shared" si="1"/>
        <v>0</v>
      </c>
    </row>
    <row r="48" spans="1:14" ht="23.25">
      <c r="A48" s="1" t="s">
        <v>60</v>
      </c>
      <c r="B48" s="2">
        <v>900</v>
      </c>
      <c r="C48" s="11">
        <f>'พ.ค.'!M48</f>
        <v>0</v>
      </c>
      <c r="D48" s="11">
        <f>'พ.ค.'!N48</f>
        <v>0</v>
      </c>
      <c r="E48" s="11"/>
      <c r="F48" s="11"/>
      <c r="G48" s="11"/>
      <c r="H48" s="11"/>
      <c r="I48" s="11"/>
      <c r="J48" s="11"/>
      <c r="K48" s="11"/>
      <c r="L48" s="11"/>
      <c r="M48" s="11">
        <v>0</v>
      </c>
      <c r="N48" s="11">
        <f t="shared" si="1"/>
        <v>0</v>
      </c>
    </row>
    <row r="49" spans="1:16" ht="23.25">
      <c r="A49" s="1" t="s">
        <v>61</v>
      </c>
      <c r="B49" s="2" t="s">
        <v>34</v>
      </c>
      <c r="C49" s="11">
        <f>'พ.ค.'!M49</f>
        <v>0</v>
      </c>
      <c r="D49" s="11">
        <f>'พ.ค.'!N49</f>
        <v>1188354</v>
      </c>
      <c r="E49" s="11"/>
      <c r="F49" s="11">
        <v>5200</v>
      </c>
      <c r="G49" s="11"/>
      <c r="H49" s="11"/>
      <c r="I49" s="11"/>
      <c r="J49" s="11"/>
      <c r="K49" s="11"/>
      <c r="L49" s="11"/>
      <c r="M49" s="11">
        <v>0</v>
      </c>
      <c r="N49" s="11">
        <f t="shared" si="1"/>
        <v>1193554</v>
      </c>
      <c r="O49" s="52">
        <f>N49+N50</f>
        <v>1208096.77</v>
      </c>
      <c r="P49" s="52"/>
    </row>
    <row r="50" spans="1:15" ht="23.25">
      <c r="A50" s="1" t="s">
        <v>62</v>
      </c>
      <c r="B50" s="2" t="s">
        <v>34</v>
      </c>
      <c r="C50" s="11">
        <f>'พ.ค.'!M50</f>
        <v>0</v>
      </c>
      <c r="D50" s="11">
        <f>'พ.ค.'!N50</f>
        <v>14542.77</v>
      </c>
      <c r="E50" s="11"/>
      <c r="F50" s="11"/>
      <c r="G50" s="11"/>
      <c r="H50" s="11"/>
      <c r="I50" s="11"/>
      <c r="J50" s="11"/>
      <c r="K50" s="11"/>
      <c r="L50" s="11"/>
      <c r="M50" s="11">
        <v>0</v>
      </c>
      <c r="N50" s="11">
        <f t="shared" si="1"/>
        <v>14542.77</v>
      </c>
      <c r="O50" s="52">
        <f>O49-M11</f>
        <v>0</v>
      </c>
    </row>
    <row r="51" spans="1:14" ht="23.25">
      <c r="A51" s="1" t="s">
        <v>144</v>
      </c>
      <c r="B51" s="2">
        <v>900</v>
      </c>
      <c r="C51" s="11">
        <f>'พ.ค.'!M51</f>
        <v>0</v>
      </c>
      <c r="D51" s="11">
        <f>'พ.ค.'!N51</f>
        <v>0</v>
      </c>
      <c r="E51" s="11"/>
      <c r="F51" s="11"/>
      <c r="G51" s="11"/>
      <c r="H51" s="11"/>
      <c r="I51" s="11"/>
      <c r="J51" s="11"/>
      <c r="K51" s="11"/>
      <c r="L51" s="11"/>
      <c r="M51" s="11">
        <v>0</v>
      </c>
      <c r="N51" s="11">
        <f t="shared" si="1"/>
        <v>0</v>
      </c>
    </row>
    <row r="52" spans="1:15" ht="23.25">
      <c r="A52" s="1" t="s">
        <v>64</v>
      </c>
      <c r="B52" s="2">
        <v>900</v>
      </c>
      <c r="C52" s="11">
        <f>'พ.ค.'!M52</f>
        <v>0</v>
      </c>
      <c r="D52" s="11">
        <f>'พ.ค.'!N52</f>
        <v>6000</v>
      </c>
      <c r="E52" s="11"/>
      <c r="F52" s="11">
        <v>500</v>
      </c>
      <c r="G52" s="11"/>
      <c r="H52" s="11"/>
      <c r="I52" s="11"/>
      <c r="J52" s="11"/>
      <c r="K52" s="11"/>
      <c r="L52" s="11"/>
      <c r="M52" s="11">
        <v>0</v>
      </c>
      <c r="N52" s="11">
        <f t="shared" si="1"/>
        <v>6500</v>
      </c>
      <c r="O52" s="52"/>
    </row>
    <row r="53" spans="1:14" ht="23.25">
      <c r="A53" s="1" t="s">
        <v>65</v>
      </c>
      <c r="B53" s="2">
        <v>900</v>
      </c>
      <c r="C53" s="11">
        <f>'พ.ค.'!M53</f>
        <v>0</v>
      </c>
      <c r="D53" s="11">
        <f>'พ.ค.'!N53</f>
        <v>1500</v>
      </c>
      <c r="E53" s="11"/>
      <c r="F53" s="11">
        <v>500</v>
      </c>
      <c r="G53" s="11"/>
      <c r="H53" s="11"/>
      <c r="I53" s="11"/>
      <c r="J53" s="11"/>
      <c r="K53" s="11"/>
      <c r="L53" s="11"/>
      <c r="M53" s="11">
        <v>0</v>
      </c>
      <c r="N53" s="11">
        <f t="shared" si="1"/>
        <v>2000</v>
      </c>
    </row>
    <row r="54" spans="1:15" ht="23.25">
      <c r="A54" s="1" t="s">
        <v>66</v>
      </c>
      <c r="B54" s="2">
        <v>900</v>
      </c>
      <c r="C54" s="11">
        <f>'พ.ค.'!M54</f>
        <v>0</v>
      </c>
      <c r="D54" s="11">
        <f>'พ.ค.'!N54</f>
        <v>0</v>
      </c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f t="shared" si="1"/>
        <v>0</v>
      </c>
      <c r="O54" s="52"/>
    </row>
    <row r="55" spans="1:15" ht="23.25">
      <c r="A55" s="1" t="s">
        <v>296</v>
      </c>
      <c r="B55" s="2">
        <v>900</v>
      </c>
      <c r="C55" s="11">
        <f>'พ.ค.'!M55</f>
        <v>0</v>
      </c>
      <c r="D55" s="11">
        <f>'พ.ค.'!N55</f>
        <v>20000</v>
      </c>
      <c r="E55" s="11"/>
      <c r="F55" s="11"/>
      <c r="G55" s="11"/>
      <c r="H55" s="11"/>
      <c r="I55" s="11"/>
      <c r="J55" s="11"/>
      <c r="K55" s="11"/>
      <c r="L55" s="11"/>
      <c r="M55" s="11">
        <v>0</v>
      </c>
      <c r="N55" s="11">
        <f t="shared" si="1"/>
        <v>20000</v>
      </c>
      <c r="O55" s="52"/>
    </row>
    <row r="56" spans="1:14" ht="23.25">
      <c r="A56" s="1" t="s">
        <v>142</v>
      </c>
      <c r="B56" s="2" t="s">
        <v>34</v>
      </c>
      <c r="C56" s="11">
        <v>0</v>
      </c>
      <c r="D56" s="11">
        <f>'พ.ค.'!N56</f>
        <v>0</v>
      </c>
      <c r="E56" s="11"/>
      <c r="F56" s="11"/>
      <c r="G56" s="11"/>
      <c r="H56" s="11"/>
      <c r="I56" s="11"/>
      <c r="J56" s="11"/>
      <c r="K56" s="11"/>
      <c r="L56" s="11"/>
      <c r="M56" s="11">
        <f t="shared" si="0"/>
        <v>0</v>
      </c>
      <c r="N56" s="11">
        <f t="shared" si="1"/>
        <v>0</v>
      </c>
    </row>
    <row r="57" spans="1:14" ht="23.25">
      <c r="A57" s="1" t="s">
        <v>68</v>
      </c>
      <c r="B57" s="2" t="s">
        <v>34</v>
      </c>
      <c r="C57" s="11">
        <f>'พ.ค.'!M57</f>
        <v>0</v>
      </c>
      <c r="D57" s="11">
        <f>'พ.ค.'!N57</f>
        <v>0</v>
      </c>
      <c r="E57" s="11"/>
      <c r="F57" s="11"/>
      <c r="G57" s="11"/>
      <c r="H57" s="11"/>
      <c r="I57" s="11"/>
      <c r="J57" s="11"/>
      <c r="K57" s="11"/>
      <c r="L57" s="11"/>
      <c r="M57" s="11">
        <f t="shared" si="0"/>
        <v>0</v>
      </c>
      <c r="N57" s="11">
        <f t="shared" si="1"/>
        <v>0</v>
      </c>
    </row>
    <row r="58" spans="1:14" ht="23.25">
      <c r="A58" s="1" t="s">
        <v>292</v>
      </c>
      <c r="B58" s="2" t="s">
        <v>34</v>
      </c>
      <c r="C58" s="11">
        <f>'พ.ค.'!M58</f>
        <v>0</v>
      </c>
      <c r="D58" s="11">
        <f>'พ.ค.'!N58</f>
        <v>295</v>
      </c>
      <c r="E58" s="12"/>
      <c r="F58" s="12"/>
      <c r="G58" s="12"/>
      <c r="H58" s="12"/>
      <c r="I58" s="12"/>
      <c r="J58" s="12"/>
      <c r="K58" s="12"/>
      <c r="L58" s="12"/>
      <c r="M58" s="11">
        <v>0</v>
      </c>
      <c r="N58" s="11">
        <f t="shared" si="1"/>
        <v>295</v>
      </c>
    </row>
    <row r="59" spans="1:14" ht="23.25">
      <c r="A59" s="1" t="s">
        <v>70</v>
      </c>
      <c r="B59" s="2" t="s">
        <v>34</v>
      </c>
      <c r="C59" s="11">
        <f>'พ.ค.'!M59</f>
        <v>0</v>
      </c>
      <c r="D59" s="11">
        <f>'พ.ค.'!N59</f>
        <v>0</v>
      </c>
      <c r="E59" s="11"/>
      <c r="F59" s="11"/>
      <c r="G59" s="11"/>
      <c r="H59" s="11"/>
      <c r="I59" s="11"/>
      <c r="J59" s="11"/>
      <c r="K59" s="11"/>
      <c r="L59" s="11"/>
      <c r="M59" s="11">
        <v>0</v>
      </c>
      <c r="N59" s="11">
        <f t="shared" si="1"/>
        <v>0</v>
      </c>
    </row>
    <row r="60" spans="1:14" ht="23.25">
      <c r="A60" s="1" t="s">
        <v>127</v>
      </c>
      <c r="B60" s="2" t="s">
        <v>34</v>
      </c>
      <c r="C60" s="11">
        <f>'พ.ค.'!M60</f>
        <v>0</v>
      </c>
      <c r="D60" s="11">
        <f>'พ.ค.'!N60</f>
        <v>0</v>
      </c>
      <c r="E60" s="11"/>
      <c r="F60" s="11"/>
      <c r="G60" s="11"/>
      <c r="H60" s="11"/>
      <c r="I60" s="11"/>
      <c r="J60" s="11"/>
      <c r="K60" s="11"/>
      <c r="L60" s="11"/>
      <c r="M60" s="11">
        <v>0</v>
      </c>
      <c r="N60" s="11">
        <f t="shared" si="1"/>
        <v>0</v>
      </c>
    </row>
    <row r="61" spans="1:14" ht="23.25">
      <c r="A61" s="1" t="s">
        <v>129</v>
      </c>
      <c r="B61" s="2" t="s">
        <v>163</v>
      </c>
      <c r="C61" s="11">
        <f>'พ.ค.'!M61</f>
        <v>0</v>
      </c>
      <c r="D61" s="11">
        <f>'พ.ค.'!N61</f>
        <v>4364.44</v>
      </c>
      <c r="E61" s="11"/>
      <c r="F61" s="11"/>
      <c r="G61" s="11"/>
      <c r="H61" s="11"/>
      <c r="I61" s="11"/>
      <c r="J61" s="11"/>
      <c r="K61" s="11"/>
      <c r="L61" s="11"/>
      <c r="M61" s="11">
        <v>0</v>
      </c>
      <c r="N61" s="11">
        <f t="shared" si="1"/>
        <v>4364.44</v>
      </c>
    </row>
    <row r="62" spans="1:14" ht="23.25">
      <c r="A62" s="1" t="s">
        <v>298</v>
      </c>
      <c r="B62" s="2" t="s">
        <v>34</v>
      </c>
      <c r="C62" s="11">
        <f>'พ.ค.'!M62</f>
        <v>0</v>
      </c>
      <c r="D62" s="11">
        <f>'พ.ค.'!N62</f>
        <v>0</v>
      </c>
      <c r="E62" s="11"/>
      <c r="F62" s="11">
        <v>2029300</v>
      </c>
      <c r="G62" s="11">
        <v>1730300</v>
      </c>
      <c r="H62" s="11">
        <v>500</v>
      </c>
      <c r="I62" s="11"/>
      <c r="J62" s="11"/>
      <c r="K62" s="11"/>
      <c r="L62" s="11"/>
      <c r="M62" s="11">
        <v>0</v>
      </c>
      <c r="N62" s="11">
        <f t="shared" si="1"/>
        <v>299500</v>
      </c>
    </row>
    <row r="63" spans="1:14" ht="23.25">
      <c r="A63" s="1" t="s">
        <v>278</v>
      </c>
      <c r="B63" s="2" t="s">
        <v>167</v>
      </c>
      <c r="C63" s="11">
        <v>0</v>
      </c>
      <c r="D63" s="11">
        <f>'พ.ค.'!N63</f>
        <v>503066</v>
      </c>
      <c r="E63" s="11"/>
      <c r="F63" s="11"/>
      <c r="G63" s="11"/>
      <c r="H63" s="11"/>
      <c r="I63" s="11"/>
      <c r="J63" s="11"/>
      <c r="K63" s="11"/>
      <c r="L63" s="11"/>
      <c r="M63" s="11">
        <v>0</v>
      </c>
      <c r="N63" s="11">
        <f t="shared" si="1"/>
        <v>503066</v>
      </c>
    </row>
    <row r="64" spans="1:14" ht="23.25">
      <c r="A64" s="1" t="s">
        <v>277</v>
      </c>
      <c r="B64" s="2" t="s">
        <v>163</v>
      </c>
      <c r="C64" s="11">
        <f>'พ.ค.'!M64</f>
        <v>0</v>
      </c>
      <c r="D64" s="11">
        <f>'พ.ค.'!N64</f>
        <v>322000</v>
      </c>
      <c r="E64" s="11"/>
      <c r="F64" s="11"/>
      <c r="G64" s="11">
        <f>371500-64500+5500</f>
        <v>312500</v>
      </c>
      <c r="H64" s="11"/>
      <c r="I64" s="11"/>
      <c r="J64" s="11"/>
      <c r="K64" s="11"/>
      <c r="L64" s="11"/>
      <c r="M64" s="11">
        <v>0</v>
      </c>
      <c r="N64" s="11">
        <f t="shared" si="1"/>
        <v>9500</v>
      </c>
    </row>
    <row r="65" spans="1:14" ht="23.25">
      <c r="A65" s="1" t="s">
        <v>297</v>
      </c>
      <c r="B65" s="2" t="s">
        <v>167</v>
      </c>
      <c r="C65" s="11">
        <f>'พ.ค.'!M65</f>
        <v>0</v>
      </c>
      <c r="D65" s="11">
        <f>'พ.ค.'!N65</f>
        <v>204500</v>
      </c>
      <c r="E65" s="39"/>
      <c r="F65" s="39"/>
      <c r="G65" s="11">
        <f>64500+1500</f>
        <v>66000</v>
      </c>
      <c r="H65" s="11"/>
      <c r="I65" s="11"/>
      <c r="J65" s="11"/>
      <c r="K65" s="11"/>
      <c r="L65" s="11"/>
      <c r="M65" s="11">
        <v>0</v>
      </c>
      <c r="N65" s="11">
        <f t="shared" si="1"/>
        <v>138500</v>
      </c>
    </row>
    <row r="66" spans="1:14" ht="23.25">
      <c r="A66" s="1" t="s">
        <v>120</v>
      </c>
      <c r="B66" s="2" t="s">
        <v>34</v>
      </c>
      <c r="C66" s="11">
        <f>'พ.ค.'!M66</f>
        <v>0</v>
      </c>
      <c r="D66" s="11">
        <f>'พ.ค.'!N66</f>
        <v>0</v>
      </c>
      <c r="E66" s="39"/>
      <c r="F66" s="39"/>
      <c r="G66" s="11">
        <v>85345</v>
      </c>
      <c r="H66" s="11">
        <v>85345</v>
      </c>
      <c r="I66" s="11"/>
      <c r="J66" s="11"/>
      <c r="K66" s="11"/>
      <c r="L66" s="11"/>
      <c r="M66" s="11">
        <f t="shared" si="0"/>
        <v>0</v>
      </c>
      <c r="N66" s="11">
        <f t="shared" si="1"/>
        <v>0</v>
      </c>
    </row>
    <row r="67" spans="1:14" ht="23.25">
      <c r="A67" s="1" t="s">
        <v>165</v>
      </c>
      <c r="B67" s="2" t="s">
        <v>34</v>
      </c>
      <c r="C67" s="11">
        <f>'พ.ค.'!M67</f>
        <v>0</v>
      </c>
      <c r="D67" s="11">
        <f>'พ.ค.'!N67</f>
        <v>0</v>
      </c>
      <c r="E67" s="39"/>
      <c r="F67" s="39"/>
      <c r="G67" s="11">
        <v>45800</v>
      </c>
      <c r="H67" s="11">
        <v>45800</v>
      </c>
      <c r="I67" s="11"/>
      <c r="J67" s="11"/>
      <c r="K67" s="11"/>
      <c r="L67" s="11"/>
      <c r="M67" s="11">
        <f t="shared" si="0"/>
        <v>0</v>
      </c>
      <c r="N67" s="11">
        <v>0</v>
      </c>
    </row>
    <row r="68" spans="1:14" ht="23.25">
      <c r="A68" s="1" t="s">
        <v>121</v>
      </c>
      <c r="B68" s="40" t="s">
        <v>34</v>
      </c>
      <c r="C68" s="11">
        <f>'พ.ค.'!M68</f>
        <v>0</v>
      </c>
      <c r="D68" s="11">
        <f>'พ.ค.'!N68</f>
        <v>0</v>
      </c>
      <c r="E68" s="39"/>
      <c r="F68" s="39"/>
      <c r="G68" s="11"/>
      <c r="H68" s="11"/>
      <c r="I68" s="11"/>
      <c r="J68" s="11"/>
      <c r="K68" s="11"/>
      <c r="L68" s="11"/>
      <c r="M68" s="11">
        <v>0</v>
      </c>
      <c r="N68" s="11">
        <f t="shared" si="1"/>
        <v>0</v>
      </c>
    </row>
    <row r="69" spans="1:14" ht="23.25">
      <c r="A69" s="51" t="s">
        <v>94</v>
      </c>
      <c r="B69" s="40" t="s">
        <v>79</v>
      </c>
      <c r="C69" s="11">
        <f>'พ.ค.'!M69</f>
        <v>0</v>
      </c>
      <c r="D69" s="11">
        <f>'พ.ค.'!N69</f>
        <v>28494</v>
      </c>
      <c r="E69" s="39"/>
      <c r="F69" s="39"/>
      <c r="G69" s="11"/>
      <c r="H69" s="11"/>
      <c r="I69" s="11"/>
      <c r="J69" s="11">
        <v>1189</v>
      </c>
      <c r="K69" s="11"/>
      <c r="L69" s="11">
        <f>4375+430</f>
        <v>4805</v>
      </c>
      <c r="M69" s="11">
        <v>0</v>
      </c>
      <c r="N69" s="11">
        <f t="shared" si="1"/>
        <v>34488</v>
      </c>
    </row>
    <row r="70" spans="1:16" ht="23.25">
      <c r="A70" s="51" t="s">
        <v>95</v>
      </c>
      <c r="B70" s="40" t="s">
        <v>80</v>
      </c>
      <c r="C70" s="11">
        <f>'พ.ค.'!M70</f>
        <v>0</v>
      </c>
      <c r="D70" s="11">
        <f>'พ.ค.'!N70</f>
        <v>77215.6</v>
      </c>
      <c r="E70" s="39"/>
      <c r="F70" s="39"/>
      <c r="G70" s="11"/>
      <c r="H70" s="11"/>
      <c r="I70" s="11"/>
      <c r="J70" s="11"/>
      <c r="K70" s="11">
        <f>4375+430</f>
        <v>4805</v>
      </c>
      <c r="L70" s="11"/>
      <c r="M70" s="11">
        <v>0</v>
      </c>
      <c r="N70" s="11">
        <f t="shared" si="1"/>
        <v>72410.6</v>
      </c>
      <c r="O70" s="52">
        <f>N70+G38+G39</f>
        <v>81281</v>
      </c>
      <c r="P70" s="52"/>
    </row>
    <row r="71" spans="1:14" ht="23.25">
      <c r="A71" s="51" t="s">
        <v>96</v>
      </c>
      <c r="B71" s="40" t="s">
        <v>81</v>
      </c>
      <c r="C71" s="11">
        <f>'พ.ค.'!M71</f>
        <v>0</v>
      </c>
      <c r="D71" s="11">
        <f>'พ.ค.'!N71</f>
        <v>6053</v>
      </c>
      <c r="E71" s="39"/>
      <c r="F71" s="39"/>
      <c r="G71" s="11"/>
      <c r="H71" s="11"/>
      <c r="I71" s="11"/>
      <c r="J71" s="11"/>
      <c r="K71" s="11"/>
      <c r="L71" s="11"/>
      <c r="M71" s="11">
        <v>0</v>
      </c>
      <c r="N71" s="11">
        <f t="shared" si="1"/>
        <v>6053</v>
      </c>
    </row>
    <row r="72" spans="1:14" ht="23.25">
      <c r="A72" s="51" t="s">
        <v>164</v>
      </c>
      <c r="B72" s="40" t="s">
        <v>162</v>
      </c>
      <c r="C72" s="11">
        <f>'พ.ค.'!M72</f>
        <v>0</v>
      </c>
      <c r="D72" s="11">
        <f>'พ.ค.'!N72</f>
        <v>31180</v>
      </c>
      <c r="E72" s="39"/>
      <c r="F72" s="39"/>
      <c r="G72" s="11"/>
      <c r="H72" s="11"/>
      <c r="I72" s="11"/>
      <c r="J72" s="11">
        <v>4790</v>
      </c>
      <c r="K72" s="11"/>
      <c r="L72" s="11"/>
      <c r="M72" s="11">
        <v>0</v>
      </c>
      <c r="N72" s="11">
        <f aca="true" t="shared" si="2" ref="N72:N91">SUM(D72+F72+H72+J72+L72)-(C72+E72+G72+I72+K72)</f>
        <v>35970</v>
      </c>
    </row>
    <row r="73" spans="1:14" ht="23.25">
      <c r="A73" s="51" t="s">
        <v>97</v>
      </c>
      <c r="B73" s="40" t="s">
        <v>83</v>
      </c>
      <c r="C73" s="11">
        <f>'พ.ค.'!M73</f>
        <v>0</v>
      </c>
      <c r="D73" s="11">
        <f>'พ.ค.'!N73</f>
        <v>3242152.1199999996</v>
      </c>
      <c r="E73" s="39"/>
      <c r="F73" s="39"/>
      <c r="G73" s="11"/>
      <c r="H73" s="11"/>
      <c r="I73" s="11"/>
      <c r="J73" s="11"/>
      <c r="K73" s="11"/>
      <c r="L73" s="11"/>
      <c r="M73" s="11">
        <v>0</v>
      </c>
      <c r="N73" s="11">
        <f t="shared" si="2"/>
        <v>3242152.1199999996</v>
      </c>
    </row>
    <row r="74" spans="1:14" ht="23.25">
      <c r="A74" s="51" t="s">
        <v>125</v>
      </c>
      <c r="B74" s="40" t="s">
        <v>160</v>
      </c>
      <c r="C74" s="11">
        <f>'พ.ค.'!M74</f>
        <v>0</v>
      </c>
      <c r="D74" s="11">
        <f>'พ.ค.'!N74</f>
        <v>1101396.32</v>
      </c>
      <c r="E74" s="39"/>
      <c r="F74" s="39"/>
      <c r="G74" s="11"/>
      <c r="H74" s="11"/>
      <c r="I74" s="11"/>
      <c r="J74" s="11">
        <v>315588.06</v>
      </c>
      <c r="K74" s="11"/>
      <c r="L74" s="11"/>
      <c r="M74" s="11">
        <v>0</v>
      </c>
      <c r="N74" s="11">
        <f t="shared" si="2"/>
        <v>1416984.3800000001</v>
      </c>
    </row>
    <row r="75" spans="1:14" ht="23.25">
      <c r="A75" s="51" t="s">
        <v>123</v>
      </c>
      <c r="B75" s="40" t="s">
        <v>161</v>
      </c>
      <c r="C75" s="11">
        <f>'พ.ค.'!M75</f>
        <v>0</v>
      </c>
      <c r="D75" s="11">
        <f>'พ.ค.'!N75</f>
        <v>112026</v>
      </c>
      <c r="E75" s="39"/>
      <c r="F75" s="39"/>
      <c r="G75" s="11"/>
      <c r="H75" s="11"/>
      <c r="I75" s="11"/>
      <c r="J75" s="11">
        <v>15636</v>
      </c>
      <c r="K75" s="11"/>
      <c r="L75" s="11"/>
      <c r="M75" s="11">
        <v>0</v>
      </c>
      <c r="N75" s="11">
        <f t="shared" si="2"/>
        <v>127662</v>
      </c>
    </row>
    <row r="76" spans="1:14" ht="23.25">
      <c r="A76" s="51" t="s">
        <v>98</v>
      </c>
      <c r="B76" s="40" t="s">
        <v>85</v>
      </c>
      <c r="C76" s="11">
        <f>'พ.ค.'!M76</f>
        <v>0</v>
      </c>
      <c r="D76" s="11">
        <f>'พ.ค.'!N76</f>
        <v>682720.16</v>
      </c>
      <c r="E76" s="39"/>
      <c r="F76" s="39"/>
      <c r="G76" s="11"/>
      <c r="H76" s="11"/>
      <c r="I76" s="11"/>
      <c r="J76" s="11">
        <v>170606.07</v>
      </c>
      <c r="K76" s="11"/>
      <c r="L76" s="11"/>
      <c r="M76" s="11">
        <v>0</v>
      </c>
      <c r="N76" s="11">
        <f t="shared" si="2"/>
        <v>853326.23</v>
      </c>
    </row>
    <row r="77" spans="1:14" ht="23.25">
      <c r="A77" s="51" t="s">
        <v>99</v>
      </c>
      <c r="B77" s="40" t="s">
        <v>86</v>
      </c>
      <c r="C77" s="11">
        <f>'พ.ค.'!M77</f>
        <v>0</v>
      </c>
      <c r="D77" s="11">
        <f>'พ.ค.'!N77</f>
        <v>1744225.73</v>
      </c>
      <c r="E77" s="39"/>
      <c r="F77" s="39"/>
      <c r="G77" s="11"/>
      <c r="H77" s="11"/>
      <c r="I77" s="11"/>
      <c r="J77" s="11">
        <v>521675.79</v>
      </c>
      <c r="K77" s="11"/>
      <c r="L77" s="11"/>
      <c r="M77" s="11">
        <v>0</v>
      </c>
      <c r="N77" s="11">
        <f t="shared" si="2"/>
        <v>2265901.52</v>
      </c>
    </row>
    <row r="78" spans="1:14" ht="23.25">
      <c r="A78" s="51" t="s">
        <v>100</v>
      </c>
      <c r="B78" s="40" t="s">
        <v>87</v>
      </c>
      <c r="C78" s="11">
        <f>'พ.ค.'!M78</f>
        <v>0</v>
      </c>
      <c r="D78" s="11">
        <f>'พ.ค.'!N78</f>
        <v>20931.02</v>
      </c>
      <c r="E78" s="39"/>
      <c r="F78" s="39"/>
      <c r="G78" s="11"/>
      <c r="H78" s="11"/>
      <c r="I78" s="11"/>
      <c r="J78" s="11"/>
      <c r="K78" s="11"/>
      <c r="L78" s="11"/>
      <c r="M78" s="11">
        <v>0</v>
      </c>
      <c r="N78" s="11">
        <f t="shared" si="2"/>
        <v>20931.02</v>
      </c>
    </row>
    <row r="79" spans="1:14" ht="23.25">
      <c r="A79" s="51" t="s">
        <v>293</v>
      </c>
      <c r="B79" s="40" t="s">
        <v>87</v>
      </c>
      <c r="C79" s="11">
        <f>'พ.ค.'!M79</f>
        <v>0</v>
      </c>
      <c r="D79" s="11">
        <f>'พ.ค.'!N79</f>
        <v>24528.6</v>
      </c>
      <c r="E79" s="39"/>
      <c r="F79" s="39"/>
      <c r="G79" s="11"/>
      <c r="H79" s="11"/>
      <c r="I79" s="11"/>
      <c r="J79" s="11">
        <v>13773.01</v>
      </c>
      <c r="K79" s="11"/>
      <c r="L79" s="11"/>
      <c r="M79" s="11">
        <v>0</v>
      </c>
      <c r="N79" s="11">
        <f t="shared" si="2"/>
        <v>38301.61</v>
      </c>
    </row>
    <row r="80" spans="1:14" ht="23.25">
      <c r="A80" s="51" t="s">
        <v>280</v>
      </c>
      <c r="B80" s="40" t="s">
        <v>88</v>
      </c>
      <c r="C80" s="11">
        <f>'พ.ค.'!M80</f>
        <v>0</v>
      </c>
      <c r="D80" s="11">
        <f>'พ.ค.'!N80</f>
        <v>2.91</v>
      </c>
      <c r="E80" s="39"/>
      <c r="F80" s="39"/>
      <c r="G80" s="11"/>
      <c r="H80" s="11"/>
      <c r="I80" s="11"/>
      <c r="J80" s="11"/>
      <c r="K80" s="11"/>
      <c r="L80" s="11"/>
      <c r="M80" s="11">
        <v>0</v>
      </c>
      <c r="N80" s="11">
        <f t="shared" si="2"/>
        <v>2.91</v>
      </c>
    </row>
    <row r="81" spans="1:14" ht="23.25">
      <c r="A81" s="51" t="s">
        <v>124</v>
      </c>
      <c r="B81" s="40" t="s">
        <v>89</v>
      </c>
      <c r="C81" s="11">
        <f>'พ.ค.'!M81</f>
        <v>0</v>
      </c>
      <c r="D81" s="11">
        <f>'พ.ค.'!N81</f>
        <v>358962</v>
      </c>
      <c r="E81" s="39"/>
      <c r="F81" s="39"/>
      <c r="G81" s="11"/>
      <c r="H81" s="11"/>
      <c r="I81" s="11"/>
      <c r="J81" s="11">
        <v>147383</v>
      </c>
      <c r="K81" s="11"/>
      <c r="L81" s="11"/>
      <c r="M81" s="11">
        <v>0</v>
      </c>
      <c r="N81" s="11">
        <f t="shared" si="2"/>
        <v>506345</v>
      </c>
    </row>
    <row r="82" spans="1:14" ht="23.25">
      <c r="A82" s="51" t="s">
        <v>132</v>
      </c>
      <c r="B82" s="40" t="s">
        <v>133</v>
      </c>
      <c r="C82" s="11">
        <f>'พ.ค.'!M82</f>
        <v>0</v>
      </c>
      <c r="D82" s="11">
        <f>'พ.ค.'!N82</f>
        <v>5000</v>
      </c>
      <c r="E82" s="39"/>
      <c r="F82" s="39"/>
      <c r="G82" s="11"/>
      <c r="H82" s="11"/>
      <c r="I82" s="11"/>
      <c r="J82" s="11"/>
      <c r="K82" s="11"/>
      <c r="L82" s="11"/>
      <c r="M82" s="11">
        <v>0</v>
      </c>
      <c r="N82" s="11">
        <f t="shared" si="2"/>
        <v>5000</v>
      </c>
    </row>
    <row r="83" spans="1:14" ht="23.25">
      <c r="A83" s="51" t="s">
        <v>294</v>
      </c>
      <c r="B83" s="40" t="s">
        <v>90</v>
      </c>
      <c r="C83" s="11">
        <f>'พ.ค.'!M83</f>
        <v>0</v>
      </c>
      <c r="D83" s="11">
        <f>'พ.ค.'!N83</f>
        <v>11860.33</v>
      </c>
      <c r="E83" s="39"/>
      <c r="F83" s="39"/>
      <c r="G83" s="11"/>
      <c r="H83" s="11"/>
      <c r="I83" s="11"/>
      <c r="J83" s="11">
        <v>1045.09</v>
      </c>
      <c r="K83" s="11"/>
      <c r="L83" s="11"/>
      <c r="M83" s="11">
        <v>0</v>
      </c>
      <c r="N83" s="11">
        <f t="shared" si="2"/>
        <v>12905.42</v>
      </c>
    </row>
    <row r="84" spans="1:14" ht="23.25">
      <c r="A84" s="51" t="s">
        <v>295</v>
      </c>
      <c r="B84" s="40" t="s">
        <v>91</v>
      </c>
      <c r="C84" s="11">
        <f>'พ.ค.'!M84</f>
        <v>0</v>
      </c>
      <c r="D84" s="11">
        <f>'พ.ค.'!N84</f>
        <v>7000</v>
      </c>
      <c r="E84" s="39"/>
      <c r="F84" s="39"/>
      <c r="G84" s="11"/>
      <c r="H84" s="11"/>
      <c r="I84" s="11"/>
      <c r="J84" s="11"/>
      <c r="K84" s="11"/>
      <c r="L84" s="11"/>
      <c r="M84" s="11">
        <v>0</v>
      </c>
      <c r="N84" s="11">
        <f t="shared" si="2"/>
        <v>7000</v>
      </c>
    </row>
    <row r="85" spans="1:14" ht="23.25">
      <c r="A85" s="51" t="s">
        <v>104</v>
      </c>
      <c r="B85" s="40" t="s">
        <v>92</v>
      </c>
      <c r="C85" s="11">
        <f>'พ.ค.'!M85</f>
        <v>0</v>
      </c>
      <c r="D85" s="11">
        <f>'พ.ค.'!N85</f>
        <v>53210</v>
      </c>
      <c r="E85" s="39"/>
      <c r="F85" s="39"/>
      <c r="G85" s="11"/>
      <c r="H85" s="11"/>
      <c r="I85" s="11"/>
      <c r="J85" s="11">
        <v>5298</v>
      </c>
      <c r="K85" s="11"/>
      <c r="L85" s="11"/>
      <c r="M85" s="11">
        <v>0</v>
      </c>
      <c r="N85" s="11">
        <f t="shared" si="2"/>
        <v>58508</v>
      </c>
    </row>
    <row r="86" spans="1:14" ht="23.25">
      <c r="A86" s="51" t="s">
        <v>105</v>
      </c>
      <c r="B86" s="40" t="s">
        <v>93</v>
      </c>
      <c r="C86" s="11">
        <f>'พ.ค.'!M86</f>
        <v>0</v>
      </c>
      <c r="D86" s="11">
        <f>'พ.ค.'!N86</f>
        <v>10264971</v>
      </c>
      <c r="E86" s="39"/>
      <c r="F86" s="39"/>
      <c r="G86" s="11"/>
      <c r="H86" s="11"/>
      <c r="I86" s="11"/>
      <c r="J86" s="11"/>
      <c r="K86" s="11"/>
      <c r="L86" s="11"/>
      <c r="M86" s="11">
        <v>0</v>
      </c>
      <c r="N86" s="11">
        <f t="shared" si="2"/>
        <v>10264971</v>
      </c>
    </row>
    <row r="87" spans="1:14" ht="23.25">
      <c r="A87" s="1" t="s">
        <v>106</v>
      </c>
      <c r="B87" s="40" t="s">
        <v>133</v>
      </c>
      <c r="C87" s="11">
        <f>'พ.ค.'!M87</f>
        <v>0</v>
      </c>
      <c r="D87" s="11">
        <f>'พ.ค.'!N87</f>
        <v>53000</v>
      </c>
      <c r="E87" s="39"/>
      <c r="F87" s="39"/>
      <c r="G87" s="39"/>
      <c r="H87" s="39"/>
      <c r="I87" s="39"/>
      <c r="J87" s="39"/>
      <c r="K87" s="39"/>
      <c r="L87" s="39"/>
      <c r="M87" s="11">
        <v>0</v>
      </c>
      <c r="N87" s="11">
        <f t="shared" si="2"/>
        <v>53000</v>
      </c>
    </row>
    <row r="88" spans="1:14" ht="23.25">
      <c r="A88" s="51" t="s">
        <v>140</v>
      </c>
      <c r="B88" s="40" t="s">
        <v>159</v>
      </c>
      <c r="C88" s="11">
        <f>'พ.ค.'!M88</f>
        <v>0</v>
      </c>
      <c r="D88" s="11">
        <f>'พ.ค.'!N88</f>
        <v>0</v>
      </c>
      <c r="E88" s="39"/>
      <c r="F88" s="39"/>
      <c r="G88" s="39"/>
      <c r="H88" s="39"/>
      <c r="I88" s="39"/>
      <c r="J88" s="39"/>
      <c r="K88" s="39"/>
      <c r="L88" s="39"/>
      <c r="M88" s="11">
        <v>0</v>
      </c>
      <c r="N88" s="11">
        <f t="shared" si="2"/>
        <v>0</v>
      </c>
    </row>
    <row r="89" spans="1:14" ht="23.25">
      <c r="A89" s="1" t="s">
        <v>143</v>
      </c>
      <c r="B89" s="53"/>
      <c r="C89" s="11">
        <f>'พ.ค.'!M89</f>
        <v>0</v>
      </c>
      <c r="D89" s="11">
        <f>'พ.ค.'!N89</f>
        <v>0</v>
      </c>
      <c r="E89" s="39"/>
      <c r="F89" s="39"/>
      <c r="G89" s="39"/>
      <c r="H89" s="39"/>
      <c r="I89" s="39"/>
      <c r="J89" s="39"/>
      <c r="K89" s="39"/>
      <c r="L89" s="39"/>
      <c r="M89" s="11">
        <v>0</v>
      </c>
      <c r="N89" s="11">
        <f t="shared" si="2"/>
        <v>0</v>
      </c>
    </row>
    <row r="90" spans="1:14" ht="23.25">
      <c r="A90" s="282" t="s">
        <v>307</v>
      </c>
      <c r="B90" s="283" t="s">
        <v>168</v>
      </c>
      <c r="C90" s="11">
        <f>'พ.ค.'!M90</f>
        <v>0</v>
      </c>
      <c r="D90" s="11">
        <f>'พ.ค.'!N90</f>
        <v>0</v>
      </c>
      <c r="E90" s="39"/>
      <c r="F90" s="39"/>
      <c r="G90" s="39"/>
      <c r="H90" s="39"/>
      <c r="I90" s="39"/>
      <c r="J90" s="39"/>
      <c r="K90" s="39"/>
      <c r="L90" s="39"/>
      <c r="M90" s="11"/>
      <c r="N90" s="11"/>
    </row>
    <row r="91" spans="1:14" ht="23.25">
      <c r="A91" s="285" t="s">
        <v>308</v>
      </c>
      <c r="B91" s="8" t="s">
        <v>168</v>
      </c>
      <c r="C91" s="39">
        <f>'พ.ค.'!M91</f>
        <v>0</v>
      </c>
      <c r="D91" s="39">
        <f>'พ.ค.'!N91</f>
        <v>53500</v>
      </c>
      <c r="E91" s="13"/>
      <c r="F91" s="13"/>
      <c r="G91" s="13"/>
      <c r="H91" s="13"/>
      <c r="I91" s="13"/>
      <c r="J91" s="13"/>
      <c r="K91" s="13"/>
      <c r="L91" s="13"/>
      <c r="M91" s="11">
        <v>0</v>
      </c>
      <c r="N91" s="11">
        <f t="shared" si="2"/>
        <v>53500</v>
      </c>
    </row>
    <row r="92" spans="1:14" ht="24" thickBot="1">
      <c r="A92" s="3"/>
      <c r="B92" s="4"/>
      <c r="C92" s="42">
        <f>SUM(C6:C91)</f>
        <v>24987805.759999998</v>
      </c>
      <c r="D92" s="42">
        <f aca="true" t="shared" si="3" ref="D92:N92">SUM(D6:D91)</f>
        <v>24987805.759999998</v>
      </c>
      <c r="E92" s="14">
        <f t="shared" si="3"/>
        <v>3429256.46</v>
      </c>
      <c r="F92" s="14">
        <f t="shared" si="3"/>
        <v>3429256.46</v>
      </c>
      <c r="G92" s="14">
        <f t="shared" si="3"/>
        <v>3532085.94</v>
      </c>
      <c r="H92" s="14">
        <f t="shared" si="3"/>
        <v>3532085.94</v>
      </c>
      <c r="I92" s="14">
        <f t="shared" si="3"/>
        <v>1196984.02</v>
      </c>
      <c r="J92" s="14">
        <f t="shared" si="3"/>
        <v>1196984.02</v>
      </c>
      <c r="K92" s="14">
        <f t="shared" si="3"/>
        <v>3165545.98</v>
      </c>
      <c r="L92" s="14">
        <f t="shared" si="3"/>
        <v>3165545.98</v>
      </c>
      <c r="M92" s="42">
        <f t="shared" si="3"/>
        <v>26117563.78</v>
      </c>
      <c r="N92" s="42">
        <f t="shared" si="3"/>
        <v>26117563.78</v>
      </c>
    </row>
    <row r="93" spans="1:14" ht="24" thickTop="1">
      <c r="A93" s="3"/>
      <c r="B93" s="4"/>
      <c r="C93" s="15"/>
      <c r="D93" s="15">
        <f>C92-D92</f>
        <v>0</v>
      </c>
      <c r="E93" s="15"/>
      <c r="F93" s="15">
        <f>E92-F92</f>
        <v>0</v>
      </c>
      <c r="G93" s="15"/>
      <c r="H93" s="15">
        <f>G92-H92</f>
        <v>0</v>
      </c>
      <c r="I93" s="15"/>
      <c r="J93" s="15">
        <f>I92-J92</f>
        <v>0</v>
      </c>
      <c r="K93" s="15"/>
      <c r="L93" s="15">
        <f>K92-L92</f>
        <v>0</v>
      </c>
      <c r="M93" s="15"/>
      <c r="N93" s="15">
        <f>M92-N92</f>
        <v>0</v>
      </c>
    </row>
    <row r="94" spans="1:53" ht="23.25">
      <c r="A94" s="16"/>
      <c r="B94" s="309"/>
      <c r="C94" s="309"/>
      <c r="D94" s="309"/>
      <c r="E94" s="309"/>
      <c r="F94" s="309"/>
      <c r="G94" s="309"/>
      <c r="H94" s="16"/>
      <c r="I94" s="16"/>
      <c r="J94" s="16"/>
      <c r="K94" s="16"/>
      <c r="L94" s="16"/>
      <c r="M94" s="16"/>
      <c r="N94" s="16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23.25">
      <c r="A95" s="3"/>
      <c r="B95" s="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23.25">
      <c r="A96" s="16"/>
      <c r="B96" s="309"/>
      <c r="C96" s="309"/>
      <c r="D96" s="309"/>
      <c r="E96" s="309"/>
      <c r="F96" s="309"/>
      <c r="G96" s="309"/>
      <c r="H96" s="16"/>
      <c r="I96" s="309"/>
      <c r="J96" s="309"/>
      <c r="K96" s="309"/>
      <c r="L96" s="16"/>
      <c r="M96" s="16"/>
      <c r="N96" s="16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22.5" customHeight="1">
      <c r="A97" s="16"/>
      <c r="B97" s="309"/>
      <c r="C97" s="309"/>
      <c r="D97" s="309"/>
      <c r="E97" s="309"/>
      <c r="F97" s="309"/>
      <c r="G97" s="309"/>
      <c r="H97" s="16"/>
      <c r="I97" s="309"/>
      <c r="J97" s="309"/>
      <c r="K97" s="309"/>
      <c r="L97" s="16"/>
      <c r="M97" s="16"/>
      <c r="N97" s="16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14" ht="23.25">
      <c r="A98" s="3"/>
      <c r="B98" s="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3.25">
      <c r="A99" s="3"/>
      <c r="B99" s="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3.25">
      <c r="A100" s="3"/>
      <c r="B100" s="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3.25">
      <c r="A101" s="3"/>
      <c r="B101" s="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3.25">
      <c r="A102" s="3"/>
      <c r="B102" s="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23.25">
      <c r="A103" s="3"/>
      <c r="B103" s="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3.25">
      <c r="A104" s="3"/>
      <c r="B104" s="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3.25">
      <c r="A105" s="3"/>
      <c r="B105" s="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3.25">
      <c r="A106" s="3"/>
      <c r="B106" s="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</sheetData>
  <sheetProtection/>
  <mergeCells count="17">
    <mergeCell ref="I96:K96"/>
    <mergeCell ref="B97:D97"/>
    <mergeCell ref="E97:G97"/>
    <mergeCell ref="I97:K97"/>
    <mergeCell ref="B94:D94"/>
    <mergeCell ref="E94:G94"/>
    <mergeCell ref="B96:D96"/>
    <mergeCell ref="E96:G96"/>
    <mergeCell ref="A1:N1"/>
    <mergeCell ref="A2:N2"/>
    <mergeCell ref="K4:L4"/>
    <mergeCell ref="M4:N4"/>
    <mergeCell ref="A4:A5"/>
    <mergeCell ref="C4:D4"/>
    <mergeCell ref="E4:F4"/>
    <mergeCell ref="G4:H4"/>
    <mergeCell ref="I4:J4"/>
  </mergeCells>
  <printOptions/>
  <pageMargins left="0.1968503937007874" right="0" top="0.5905511811023623" bottom="0.3937007874015748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2010-11-03T03:54:15Z</cp:lastPrinted>
  <dcterms:created xsi:type="dcterms:W3CDTF">2005-11-15T13:38:35Z</dcterms:created>
  <dcterms:modified xsi:type="dcterms:W3CDTF">2010-11-03T03:54:46Z</dcterms:modified>
  <cp:category/>
  <cp:version/>
  <cp:contentType/>
  <cp:contentStatus/>
</cp:coreProperties>
</file>